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E:\Daten\Dropbox\Büro\Büro EG\Vorlagen\Förderprogramm\Fördergeldrechner\2022\"/>
    </mc:Choice>
  </mc:AlternateContent>
  <xr:revisionPtr revIDLastSave="0" documentId="13_ncr:1_{D5F6507C-BC25-418B-B687-E7E238B5AAF9}" xr6:coauthVersionLast="47" xr6:coauthVersionMax="47" xr10:uidLastSave="{00000000-0000-0000-0000-000000000000}"/>
  <bookViews>
    <workbookView xWindow="28680" yWindow="-120" windowWidth="29040" windowHeight="15840" activeTab="2" xr2:uid="{579B1727-8122-4A41-B41E-C2C8A8D4183F}"/>
  </bookViews>
  <sheets>
    <sheet name="Eingaben" sheetId="1" r:id="rId1"/>
    <sheet name="Resultat" sheetId="3" r:id="rId2"/>
    <sheet name="Fördersätze" sheetId="2" r:id="rId3"/>
  </sheets>
  <definedNames>
    <definedName name="_xlnm.Print_Area" localSheetId="0">Eingaben!$A$1:$G$51</definedName>
    <definedName name="_xlnm.Print_Area" localSheetId="2">Fördersätze!$A$1:$C$118</definedName>
    <definedName name="_xlnm.Print_Area" localSheetId="1">Resultat!$A$1:$H$88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2" i="3" l="1"/>
  <c r="F70" i="3"/>
  <c r="F58" i="3"/>
  <c r="F17" i="3"/>
  <c r="F35" i="3"/>
  <c r="R25" i="3"/>
  <c r="Q25" i="3"/>
  <c r="P25" i="3"/>
  <c r="O25" i="3"/>
  <c r="N25" i="3"/>
  <c r="P27" i="3" l="1"/>
  <c r="M25" i="3"/>
  <c r="L25" i="3"/>
  <c r="K25" i="3"/>
  <c r="J25" i="3"/>
  <c r="F25" i="3" l="1"/>
  <c r="F27" i="3" s="1"/>
  <c r="G26" i="3" s="1"/>
  <c r="I24" i="3" l="1"/>
  <c r="I25" i="3" s="1"/>
  <c r="H28" i="3" s="1"/>
  <c r="I26" i="3"/>
  <c r="B15" i="1"/>
  <c r="B17" i="1" l="1"/>
  <c r="E17" i="1" l="1"/>
  <c r="E15" i="1"/>
  <c r="I14" i="1" s="1"/>
  <c r="E16" i="1"/>
  <c r="I15" i="1" s="1"/>
  <c r="I29" i="2"/>
  <c r="N28" i="1"/>
  <c r="N27" i="1"/>
  <c r="M28" i="1"/>
  <c r="M27" i="1"/>
  <c r="M53" i="2" l="1"/>
  <c r="L53" i="2" s="1"/>
  <c r="M52" i="2"/>
  <c r="L52" i="2" s="1"/>
  <c r="M51" i="2"/>
  <c r="L51" i="2" s="1"/>
  <c r="F10" i="3"/>
  <c r="F9" i="3"/>
  <c r="N29" i="1"/>
  <c r="M29" i="1"/>
  <c r="L54" i="2" l="1"/>
  <c r="M30" i="1"/>
  <c r="I20" i="2"/>
  <c r="I23" i="2"/>
  <c r="H10" i="3"/>
  <c r="I13" i="2"/>
  <c r="I12" i="2"/>
  <c r="B28" i="1"/>
  <c r="D36" i="1" l="1"/>
  <c r="D92" i="2" s="1"/>
  <c r="F92" i="2" s="1"/>
  <c r="D35" i="1"/>
  <c r="I41" i="2"/>
  <c r="I42" i="2"/>
  <c r="I33" i="2"/>
  <c r="I32" i="2"/>
  <c r="I34" i="2"/>
  <c r="I35" i="2"/>
  <c r="D87" i="2"/>
  <c r="D82" i="2"/>
  <c r="F38" i="3" l="1"/>
  <c r="J32" i="3"/>
  <c r="F32" i="3" s="1"/>
  <c r="G92" i="2"/>
  <c r="F87" i="2"/>
  <c r="G87" i="2" s="1"/>
  <c r="G82" i="2"/>
  <c r="K82" i="2" s="1"/>
  <c r="J82" i="2" s="1"/>
  <c r="D70" i="2"/>
  <c r="F70" i="2" s="1"/>
  <c r="D65" i="2"/>
  <c r="F65" i="2" s="1"/>
  <c r="D60" i="2"/>
  <c r="A42" i="2"/>
  <c r="A43" i="2"/>
  <c r="I43" i="2" s="1"/>
  <c r="A44" i="2"/>
  <c r="I44" i="2" s="1"/>
  <c r="A46" i="2"/>
  <c r="A47" i="2"/>
  <c r="A41" i="2"/>
  <c r="H32" i="3" l="1"/>
  <c r="H35" i="3"/>
  <c r="G95" i="2"/>
  <c r="H95" i="2" s="1"/>
  <c r="I95" i="2" s="1"/>
  <c r="K95" i="2" s="1"/>
  <c r="J95" i="2" s="1"/>
  <c r="G60" i="2"/>
  <c r="K60" i="2" s="1"/>
  <c r="J60" i="2" s="1"/>
  <c r="G65" i="2"/>
  <c r="G70" i="2"/>
  <c r="H47" i="2"/>
  <c r="H46" i="2"/>
  <c r="H38" i="2"/>
  <c r="K38" i="2" s="1"/>
  <c r="H37" i="2"/>
  <c r="E24" i="1"/>
  <c r="C24" i="1"/>
  <c r="K47" i="2" l="1"/>
  <c r="I47" i="2" s="1"/>
  <c r="I38" i="2"/>
  <c r="K46" i="2"/>
  <c r="I46" i="2" s="1"/>
  <c r="K37" i="2"/>
  <c r="G19" i="3"/>
  <c r="H19" i="3" s="1"/>
  <c r="G73" i="2"/>
  <c r="I19" i="2"/>
  <c r="I17" i="2"/>
  <c r="I18" i="2"/>
  <c r="I11" i="2"/>
  <c r="I16" i="2"/>
  <c r="I10" i="2"/>
  <c r="I9" i="2"/>
  <c r="I37" i="2" l="1"/>
  <c r="I49" i="2" s="1"/>
  <c r="I54" i="2" s="1"/>
  <c r="F54" i="3" s="1"/>
  <c r="J97" i="2"/>
  <c r="G80" i="3" s="1"/>
  <c r="I25" i="2"/>
  <c r="H73" i="2"/>
  <c r="I73" i="2" s="1"/>
  <c r="F13" i="3" l="1"/>
  <c r="H13" i="3" s="1"/>
  <c r="K73" i="2"/>
  <c r="G56" i="3"/>
  <c r="G84" i="3"/>
  <c r="J73" i="2"/>
  <c r="H38" i="3" l="1"/>
  <c r="H43" i="3" s="1"/>
  <c r="G60" i="3"/>
  <c r="H62" i="3" s="1"/>
  <c r="J75" i="2"/>
  <c r="G68" i="3" s="1"/>
  <c r="G72" i="3" s="1"/>
  <c r="H74" i="3" s="1"/>
  <c r="H86" i="3"/>
  <c r="H21" i="3"/>
  <c r="H42" i="3" l="1"/>
  <c r="H4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Mischler</author>
  </authors>
  <commentList>
    <comment ref="J25" authorId="0" shapeId="0" xr:uid="{105E69B2-BDA9-42D0-A4DF-9AC5628F92D9}">
      <text>
        <r>
          <rPr>
            <b/>
            <sz val="9"/>
            <color indexed="81"/>
            <rFont val="Segoe UI"/>
            <family val="2"/>
          </rPr>
          <t>Stefan Mischler:</t>
        </r>
        <r>
          <rPr>
            <sz val="9"/>
            <color indexed="81"/>
            <rFont val="Segoe UI"/>
            <family val="2"/>
          </rPr>
          <t xml:space="preserve">
Achtung diese Null muss immer Null sein, da mit verschiedenen Formeln verbunden!</t>
        </r>
      </text>
    </comment>
  </commentList>
</comments>
</file>

<file path=xl/sharedStrings.xml><?xml version="1.0" encoding="utf-8"?>
<sst xmlns="http://schemas.openxmlformats.org/spreadsheetml/2006/main" count="212" uniqueCount="143">
  <si>
    <t>Dach</t>
  </si>
  <si>
    <t>m2</t>
  </si>
  <si>
    <t>GEAK - Klassen vor Sanierung</t>
  </si>
  <si>
    <t>Effizienz:</t>
  </si>
  <si>
    <t>GEAK - Klassen nach Sanierung</t>
  </si>
  <si>
    <t>Minergie-P</t>
  </si>
  <si>
    <t>Minergie</t>
  </si>
  <si>
    <t>Total EBF</t>
  </si>
  <si>
    <t>EBF vor Sanierung unter 1000m2</t>
  </si>
  <si>
    <t>EBF vor Sanierung 1001m2 und mehr</t>
  </si>
  <si>
    <t>Total gemäss Bericht! (z.B. 1010m2)</t>
  </si>
  <si>
    <t>Klassendifferenz</t>
  </si>
  <si>
    <t>Pflicht KL</t>
  </si>
  <si>
    <t>Fördersätze:</t>
  </si>
  <si>
    <t>Wand</t>
  </si>
  <si>
    <t>2 Klassen Verbesserung GEAK</t>
  </si>
  <si>
    <t>3 Klassen Verbesserung GEAK</t>
  </si>
  <si>
    <t>4 Klassen Verbesserung GEAK</t>
  </si>
  <si>
    <t>5 Klassen Verbesserung GEAK</t>
  </si>
  <si>
    <t xml:space="preserve"> Vergleich (Zum Einfügen im GEAK):</t>
  </si>
  <si>
    <t>Eingaben:</t>
  </si>
  <si>
    <t>EFH</t>
  </si>
  <si>
    <t>MFH</t>
  </si>
  <si>
    <t>Nichtwohnbauten</t>
  </si>
  <si>
    <t>Differenz:</t>
  </si>
  <si>
    <t>Gebäude</t>
  </si>
  <si>
    <t>Energie</t>
  </si>
  <si>
    <t>Bonus Gebäudehülleneffizienz (Kanton)</t>
  </si>
  <si>
    <t>Klasse C in der Gebäudehülleneffizienz muss erreicht sein:</t>
  </si>
  <si>
    <t>Total</t>
  </si>
  <si>
    <t>Total Einzelbauteile</t>
  </si>
  <si>
    <t>Bonus kann pro Gebäude nur einmal bezogen werden!</t>
  </si>
  <si>
    <t>ohne Gewährleistung</t>
  </si>
  <si>
    <t>weitere Förderprogramme (z. B. Stadt Frauenfeld)</t>
  </si>
  <si>
    <t>Total (Gemeinde etc.)</t>
  </si>
  <si>
    <t>Weitere Förderprogramm Gemeinde</t>
  </si>
  <si>
    <t>Frauenfeld?</t>
  </si>
  <si>
    <t>GEAK-Modernisierung:</t>
  </si>
  <si>
    <t>Grundbetrag</t>
  </si>
  <si>
    <t>Einzelbauteile:</t>
  </si>
  <si>
    <t>GEAK-Klasse C/B</t>
  </si>
  <si>
    <t>GEAK-Klasse B/A</t>
  </si>
  <si>
    <t>Bei Erreichung GEAK Klasse C/B Mindestförderung</t>
  </si>
  <si>
    <t>Bei Erreichung GEAK Klasse B/A Mindestförderung</t>
  </si>
  <si>
    <t>unter 1000m2 EBF:</t>
  </si>
  <si>
    <t>über 1000m2 EBF (60%):</t>
  </si>
  <si>
    <t>über 1000m2 EBF (50%):</t>
  </si>
  <si>
    <t xml:space="preserve">2 Klassen Verbesserung GEAK </t>
  </si>
  <si>
    <t xml:space="preserve">3 Klassen Verbesserung GEAK </t>
  </si>
  <si>
    <t xml:space="preserve">4 Klassen Verbesserung GEAK </t>
  </si>
  <si>
    <t xml:space="preserve">5 Klassen Verbesserung GEAK </t>
  </si>
  <si>
    <t xml:space="preserve">2 Klassen Verbesserung </t>
  </si>
  <si>
    <t>Total beste Variante</t>
  </si>
  <si>
    <t>Total Fördergelder nach GEAK-Modernisierung</t>
  </si>
  <si>
    <t>3. Gesamtsanierung nach Minergie</t>
  </si>
  <si>
    <t>Minergie-Sanierung</t>
  </si>
  <si>
    <t>EFH:</t>
  </si>
  <si>
    <t>pro m2 EBF</t>
  </si>
  <si>
    <t>mindestens</t>
  </si>
  <si>
    <t>MFH ab 3 Wohnungen:</t>
  </si>
  <si>
    <t>Nichtwohnbauten:</t>
  </si>
  <si>
    <t>Ersatzneubau auf Minergie P oder A</t>
  </si>
  <si>
    <t>Minergie P</t>
  </si>
  <si>
    <t>Minergie + Minergie A</t>
  </si>
  <si>
    <t>EBF:</t>
  </si>
  <si>
    <t>Total MFH + Nichtwohnbauten</t>
  </si>
  <si>
    <t>Total Minergie</t>
  </si>
  <si>
    <t>Total Fördergelder Gesamtsanierung nach Minergie</t>
  </si>
  <si>
    <t>(es sind die Bedingungen des Vereins Minergie einzuhalten)</t>
  </si>
  <si>
    <t>4. Gesamtsanierung nach Minergie-P</t>
  </si>
  <si>
    <t>Minergie? (zutreffendes Ankreuzen mit X)</t>
  </si>
  <si>
    <t>Minergie-P-Sanierung</t>
  </si>
  <si>
    <t>Ersatzneubau Minergie-P</t>
  </si>
  <si>
    <t>Total Minergie-P</t>
  </si>
  <si>
    <t xml:space="preserve">Fördergeldrechner: </t>
  </si>
  <si>
    <t>- Gebäudehüllensanierung (Einzelbauteile)</t>
  </si>
  <si>
    <t>- Gebäudemodernisierungen nach GEAK-Effizienzklassen</t>
  </si>
  <si>
    <t>- Gesamtsanierungen nach Minergie</t>
  </si>
  <si>
    <t>zu erwartende Fördergelder:</t>
  </si>
  <si>
    <t>falls ja, ein X eintragen</t>
  </si>
  <si>
    <t>"Gesamtenergie"</t>
  </si>
  <si>
    <t>"Gebäudehülle"</t>
  </si>
  <si>
    <t>Total Fördergelder Gesamtsanierung nach Minergie-P</t>
  </si>
  <si>
    <t>x</t>
  </si>
  <si>
    <t>6 Klassen Verbesserung GEAK</t>
  </si>
  <si>
    <t xml:space="preserve">6 Klassen Verbesserung GEAK </t>
  </si>
  <si>
    <t>Gesamt:</t>
  </si>
  <si>
    <t>Gebäudehüllensanierungen</t>
  </si>
  <si>
    <t>Fläche über 1000m2</t>
  </si>
  <si>
    <t>Sanierte Bauteile bis 1000m2</t>
  </si>
  <si>
    <t>Sanierte Bauteile über 1000m2</t>
  </si>
  <si>
    <t>Bei Erreichung GEAK Klasse B/B Mindestförderung</t>
  </si>
  <si>
    <t>Heizung bestehend</t>
  </si>
  <si>
    <t>Heizung saniert</t>
  </si>
  <si>
    <t>Wärmepumpenanlagen</t>
  </si>
  <si>
    <t>Wand und Boden gegen Aussen/Erdreich</t>
  </si>
  <si>
    <t>a) Gebäudehüllensanierungen (Einzelbauteile)</t>
  </si>
  <si>
    <t>b) weiter Förderbeiträge</t>
  </si>
  <si>
    <t>Ersatz von Ölheizung/Erdgasheizung/</t>
  </si>
  <si>
    <t>Ersatz von Holzheizung 70kW/Wärmepume</t>
  </si>
  <si>
    <t>Solarstromanlage</t>
  </si>
  <si>
    <t>Bonus Gesamtenergieeffizienz</t>
  </si>
  <si>
    <t>Total Fördergelder Gebäudehüllensanierung</t>
  </si>
  <si>
    <t>mindestens 30W pro m2 EBF</t>
  </si>
  <si>
    <t>Total Fördergelder nach Einzelbauteilmodernisierung</t>
  </si>
  <si>
    <t>2. Gebäudemodernisierung nach GEAK-Effizienzklassen</t>
  </si>
  <si>
    <t>Grundbetrag + Klassenaufstieg</t>
  </si>
  <si>
    <t>Total Klassenaufstieg</t>
  </si>
  <si>
    <t>1. Gebäudehüllensanierung</t>
  </si>
  <si>
    <t>g</t>
  </si>
  <si>
    <t>pro m2</t>
  </si>
  <si>
    <t>Wird eine Solarstromanlage installiert mit der WP?</t>
  </si>
  <si>
    <t>PV Leistung mindestens 30W pro m2 EBF</t>
  </si>
  <si>
    <t>max. 5000m2 EBF!</t>
  </si>
  <si>
    <t>Wird eine Solarstromanlage installiert mit Dachsanierung?</t>
  </si>
  <si>
    <t>Sole/Wasser, Wasser/Wasser</t>
  </si>
  <si>
    <t>Luft/Wasser</t>
  </si>
  <si>
    <t>Holzfeuerung bis 70kW</t>
  </si>
  <si>
    <t>Bonus Solarstromanlage mit WP</t>
  </si>
  <si>
    <t>EFH S/W &amp; WW</t>
  </si>
  <si>
    <t>MFH S/W &amp; WW</t>
  </si>
  <si>
    <t>NB S/W &amp; WW</t>
  </si>
  <si>
    <t>EFH L/W</t>
  </si>
  <si>
    <t>MFH LW</t>
  </si>
  <si>
    <t>NB L/W</t>
  </si>
  <si>
    <t>EFH Holz</t>
  </si>
  <si>
    <t>MFH Holz</t>
  </si>
  <si>
    <t>NB Holz</t>
  </si>
  <si>
    <t>Entweder Gebäudehülle oder Energieeffizienz.</t>
  </si>
  <si>
    <t>Kanton Thurgau</t>
  </si>
  <si>
    <t>Alle Auflagen gemäss kant. Förderprogramm</t>
  </si>
  <si>
    <t>b</t>
  </si>
  <si>
    <t>Ölheizung</t>
  </si>
  <si>
    <t>Nach Sanierung fossiler Energieträger?</t>
  </si>
  <si>
    <t>c</t>
  </si>
  <si>
    <t>Wärmepumpe Sole/Wasser</t>
  </si>
  <si>
    <t>Total Fördergelder Sanierung Wärmepumpe/Holzheizung</t>
  </si>
  <si>
    <t>Bei WP muss Wärmepumpen System Modul eingesetzt werden!</t>
  </si>
  <si>
    <t>Förderprogramm Energie 2022</t>
  </si>
  <si>
    <t>24. Dezember 2021 MI</t>
  </si>
  <si>
    <t>max. Fr. 50'000.-, mindestens 30W pro m2 EBF</t>
  </si>
  <si>
    <t>Bonus Solarstromanlage mit Dach/Wandsanierung</t>
  </si>
  <si>
    <t>Bonus Dach-/Wandsanierung mit Solarstromanlage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</si>
</sst>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Fr.&quot;\ * #,##0.00_ ;_ &quot;Fr.&quot;\ * \-#,##0.00_ ;_ &quot;Fr.&quot;\ * &quot;-&quot;??_ ;_ @_ "/>
    <numFmt numFmtId="165" formatCode="&quot;CHF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2" fillId="0" borderId="0" xfId="0" applyFont="1"/>
    <xf numFmtId="0" fontId="13" fillId="0" borderId="0" xfId="0" applyFont="1"/>
    <xf numFmtId="165" fontId="12" fillId="0" borderId="0" xfId="0" applyNumberFormat="1" applyFont="1"/>
    <xf numFmtId="165" fontId="13" fillId="0" borderId="0" xfId="0" applyNumberFormat="1" applyFont="1"/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0" borderId="4" xfId="0" applyFont="1" applyBorder="1"/>
    <xf numFmtId="0" fontId="6" fillId="0" borderId="0" xfId="0" applyFont="1"/>
    <xf numFmtId="165" fontId="6" fillId="0" borderId="5" xfId="0" applyNumberFormat="1" applyFont="1" applyBorder="1"/>
    <xf numFmtId="0" fontId="6" fillId="0" borderId="6" xfId="0" applyFont="1" applyBorder="1"/>
    <xf numFmtId="0" fontId="6" fillId="0" borderId="7" xfId="0" applyFont="1" applyBorder="1"/>
    <xf numFmtId="165" fontId="6" fillId="0" borderId="8" xfId="0" applyNumberFormat="1" applyFont="1" applyBorder="1"/>
    <xf numFmtId="165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5" xfId="0" applyFont="1" applyBorder="1"/>
    <xf numFmtId="0" fontId="7" fillId="0" borderId="0" xfId="0" applyFont="1"/>
    <xf numFmtId="0" fontId="14" fillId="0" borderId="0" xfId="0" applyFont="1"/>
    <xf numFmtId="0" fontId="6" fillId="0" borderId="0" xfId="0" applyFont="1" applyAlignment="1">
      <alignment horizontal="center" vertical="center"/>
    </xf>
    <xf numFmtId="0" fontId="5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5" fillId="0" borderId="4" xfId="0" applyFont="1" applyBorder="1"/>
    <xf numFmtId="0" fontId="8" fillId="0" borderId="4" xfId="0" applyFont="1" applyBorder="1"/>
    <xf numFmtId="0" fontId="6" fillId="0" borderId="4" xfId="0" quotePrefix="1" applyFont="1" applyBorder="1"/>
    <xf numFmtId="0" fontId="7" fillId="0" borderId="4" xfId="0" quotePrefix="1" applyFont="1" applyBorder="1"/>
    <xf numFmtId="0" fontId="7" fillId="0" borderId="4" xfId="0" applyFont="1" applyBorder="1"/>
    <xf numFmtId="0" fontId="11" fillId="0" borderId="0" xfId="0" applyFont="1"/>
    <xf numFmtId="0" fontId="10" fillId="0" borderId="0" xfId="0" applyFont="1"/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5" fontId="10" fillId="0" borderId="0" xfId="0" applyNumberFormat="1" applyFont="1"/>
    <xf numFmtId="4" fontId="10" fillId="0" borderId="0" xfId="0" applyNumberFormat="1" applyFont="1"/>
    <xf numFmtId="0" fontId="11" fillId="3" borderId="0" xfId="0" applyFont="1" applyFill="1"/>
    <xf numFmtId="0" fontId="10" fillId="3" borderId="0" xfId="0" applyFont="1" applyFill="1"/>
    <xf numFmtId="165" fontId="11" fillId="3" borderId="0" xfId="0" applyNumberFormat="1" applyFont="1" applyFill="1"/>
    <xf numFmtId="0" fontId="10" fillId="0" borderId="9" xfId="0" applyFont="1" applyBorder="1"/>
    <xf numFmtId="4" fontId="10" fillId="0" borderId="9" xfId="0" applyNumberFormat="1" applyFont="1" applyBorder="1"/>
    <xf numFmtId="165" fontId="10" fillId="0" borderId="9" xfId="0" applyNumberFormat="1" applyFont="1" applyBorder="1"/>
    <xf numFmtId="4" fontId="10" fillId="3" borderId="0" xfId="0" applyNumberFormat="1" applyFont="1" applyFill="1"/>
    <xf numFmtId="165" fontId="10" fillId="3" borderId="0" xfId="0" applyNumberFormat="1" applyFont="1" applyFill="1"/>
    <xf numFmtId="0" fontId="6" fillId="0" borderId="0" xfId="0" quotePrefix="1" applyFont="1" applyAlignment="1">
      <alignment horizontal="center"/>
    </xf>
    <xf numFmtId="0" fontId="15" fillId="0" borderId="0" xfId="0" applyFont="1"/>
    <xf numFmtId="0" fontId="14" fillId="4" borderId="0" xfId="0" quotePrefix="1" applyFont="1" applyFill="1"/>
    <xf numFmtId="0" fontId="15" fillId="0" borderId="0" xfId="0" quotePrefix="1" applyFont="1"/>
    <xf numFmtId="0" fontId="6" fillId="0" borderId="0" xfId="0" quotePrefix="1" applyFont="1"/>
    <xf numFmtId="0" fontId="6" fillId="2" borderId="0" xfId="0" applyFont="1" applyFill="1"/>
    <xf numFmtId="0" fontId="9" fillId="0" borderId="0" xfId="0" applyFont="1" applyAlignment="1">
      <alignment horizontal="center" vertical="center"/>
    </xf>
    <xf numFmtId="0" fontId="6" fillId="0" borderId="0" xfId="0" applyFont="1" applyFill="1"/>
    <xf numFmtId="0" fontId="12" fillId="0" borderId="0" xfId="0" quotePrefix="1" applyFont="1"/>
    <xf numFmtId="0" fontId="6" fillId="0" borderId="0" xfId="0" applyFont="1" applyFill="1" applyAlignment="1">
      <alignment horizontal="center"/>
    </xf>
    <xf numFmtId="0" fontId="2" fillId="0" borderId="4" xfId="0" applyFont="1" applyBorder="1"/>
    <xf numFmtId="0" fontId="6" fillId="0" borderId="0" xfId="0" applyNumberFormat="1" applyFont="1"/>
    <xf numFmtId="0" fontId="6" fillId="0" borderId="7" xfId="0" applyNumberFormat="1" applyFont="1" applyBorder="1"/>
    <xf numFmtId="164" fontId="10" fillId="0" borderId="0" xfId="0" applyNumberFormat="1" applyFont="1"/>
    <xf numFmtId="0" fontId="10" fillId="0" borderId="0" xfId="0" applyFont="1" applyBorder="1"/>
    <xf numFmtId="4" fontId="10" fillId="0" borderId="0" xfId="0" applyNumberFormat="1" applyFont="1" applyBorder="1"/>
    <xf numFmtId="165" fontId="10" fillId="0" borderId="0" xfId="0" applyNumberFormat="1" applyFont="1" applyBorder="1"/>
    <xf numFmtId="0" fontId="14" fillId="4" borderId="0" xfId="0" applyFont="1" applyFill="1"/>
    <xf numFmtId="0" fontId="6" fillId="4" borderId="0" xfId="0" applyFont="1" applyFill="1"/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/>
    <xf numFmtId="164" fontId="12" fillId="0" borderId="0" xfId="0" applyNumberFormat="1" applyFont="1"/>
    <xf numFmtId="0" fontId="14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115285</xdr:colOff>
      <xdr:row>0</xdr:row>
      <xdr:rowOff>76199</xdr:rowOff>
    </xdr:from>
    <xdr:to>
      <xdr:col>6</xdr:col>
      <xdr:colOff>560400</xdr:colOff>
      <xdr:row>2</xdr:row>
      <xdr:rowOff>95250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F00A574-6EE8-48E4-B48F-D163A448A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5410" y="76199"/>
          <a:ext cx="1969115" cy="476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6CFE0-3380-47A2-A662-176EC1FEADDD}">
  <sheetPr codeName="Tabelle1"/>
  <dimension ref="A1:U57"/>
  <sheetViews>
    <sheetView showGridLines="0" zoomScaleNormal="100" workbookViewId="0">
      <selection activeCell="B17" sqref="B17"/>
    </sheetView>
  </sheetViews>
  <sheetFormatPr baseColWidth="10" defaultRowHeight="14.25" x14ac:dyDescent="0.2"/>
  <cols>
    <col min="1" max="1" width="39" style="9" customWidth="1"/>
    <col min="2" max="12" width="11.42578125" style="9"/>
    <col min="13" max="13" width="11.42578125" style="9" customWidth="1"/>
    <col min="14" max="16384" width="11.42578125" style="9"/>
  </cols>
  <sheetData>
    <row r="1" spans="1:21" ht="18" x14ac:dyDescent="0.25">
      <c r="A1" s="20" t="s">
        <v>138</v>
      </c>
      <c r="B1" s="21"/>
      <c r="C1" s="21"/>
      <c r="D1" s="21"/>
      <c r="E1" s="21"/>
      <c r="F1" s="21"/>
      <c r="G1" s="22"/>
    </row>
    <row r="2" spans="1:21" ht="18" x14ac:dyDescent="0.25">
      <c r="A2" s="23"/>
      <c r="G2" s="16"/>
    </row>
    <row r="3" spans="1:21" x14ac:dyDescent="0.2">
      <c r="A3" s="24" t="s">
        <v>74</v>
      </c>
      <c r="G3" s="16"/>
    </row>
    <row r="4" spans="1:21" x14ac:dyDescent="0.2">
      <c r="A4" s="25" t="s">
        <v>75</v>
      </c>
      <c r="D4" s="65" t="s">
        <v>130</v>
      </c>
      <c r="G4" s="16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x14ac:dyDescent="0.2">
      <c r="A5" s="25" t="s">
        <v>76</v>
      </c>
      <c r="G5" s="16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x14ac:dyDescent="0.2">
      <c r="A6" s="25" t="s">
        <v>77</v>
      </c>
      <c r="G6" s="16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5" x14ac:dyDescent="0.25">
      <c r="A7" s="26"/>
      <c r="G7" s="16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5" x14ac:dyDescent="0.25">
      <c r="A8" s="27" t="s">
        <v>20</v>
      </c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x14ac:dyDescent="0.2">
      <c r="A9" s="52" t="s">
        <v>0</v>
      </c>
      <c r="B9" s="7"/>
      <c r="G9" s="16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x14ac:dyDescent="0.2">
      <c r="A10" s="52"/>
      <c r="B10" s="51"/>
      <c r="G10" s="16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x14ac:dyDescent="0.2">
      <c r="A11" s="52" t="s">
        <v>95</v>
      </c>
      <c r="B11" s="7">
        <v>0</v>
      </c>
      <c r="G11" s="16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x14ac:dyDescent="0.2">
      <c r="A12" s="52" t="s">
        <v>95</v>
      </c>
      <c r="B12" s="5"/>
      <c r="C12" s="9" t="s">
        <v>1</v>
      </c>
      <c r="G12" s="16"/>
      <c r="H12" s="59"/>
      <c r="I12" s="59"/>
      <c r="J12" s="59"/>
      <c r="K12" s="59"/>
      <c r="L12" s="59"/>
      <c r="M12" s="18"/>
      <c r="N12" s="18"/>
      <c r="O12" s="18"/>
      <c r="P12" s="18"/>
      <c r="Q12" s="18"/>
      <c r="R12" s="18"/>
      <c r="S12" s="18"/>
      <c r="T12" s="18"/>
      <c r="U12" s="18"/>
    </row>
    <row r="13" spans="1:21" x14ac:dyDescent="0.2">
      <c r="A13" s="52" t="s">
        <v>95</v>
      </c>
      <c r="B13" s="5"/>
      <c r="C13" s="9" t="s">
        <v>1</v>
      </c>
      <c r="G13" s="16"/>
      <c r="H13" s="59"/>
      <c r="I13" s="59" t="s">
        <v>87</v>
      </c>
      <c r="J13" s="59"/>
      <c r="K13" s="59"/>
      <c r="L13" s="59"/>
      <c r="M13" s="18"/>
      <c r="N13" s="18"/>
      <c r="O13" s="18"/>
      <c r="P13" s="18"/>
      <c r="Q13" s="18"/>
      <c r="R13" s="18"/>
      <c r="S13" s="18"/>
      <c r="T13" s="18"/>
      <c r="U13" s="18"/>
    </row>
    <row r="14" spans="1:21" x14ac:dyDescent="0.2">
      <c r="A14" s="52" t="s">
        <v>95</v>
      </c>
      <c r="B14" s="5"/>
      <c r="C14" s="9" t="s">
        <v>1</v>
      </c>
      <c r="G14" s="16"/>
      <c r="H14" s="59"/>
      <c r="I14" s="59">
        <f>E15*Fördersätze!A5</f>
        <v>0</v>
      </c>
      <c r="J14" s="59"/>
      <c r="K14" s="59"/>
      <c r="L14" s="59"/>
      <c r="M14" s="18"/>
      <c r="N14" s="18"/>
      <c r="O14" s="18"/>
      <c r="P14" s="18"/>
      <c r="Q14" s="18"/>
      <c r="R14" s="18"/>
      <c r="S14" s="18"/>
      <c r="T14" s="18"/>
      <c r="U14" s="18"/>
    </row>
    <row r="15" spans="1:21" x14ac:dyDescent="0.2">
      <c r="A15" s="8" t="s">
        <v>29</v>
      </c>
      <c r="B15" s="19">
        <f>ROUND(SUM(B9:B14),0)</f>
        <v>0</v>
      </c>
      <c r="C15" s="9" t="s">
        <v>1</v>
      </c>
      <c r="E15" s="47">
        <f>IF(B15&lt;1000,B15,1000)</f>
        <v>0</v>
      </c>
      <c r="G15" s="16"/>
      <c r="H15" s="59"/>
      <c r="I15" s="59">
        <f>Fördersätze!A5/100*75*E16</f>
        <v>0</v>
      </c>
      <c r="J15" s="59"/>
      <c r="K15" s="59"/>
      <c r="L15" s="59"/>
      <c r="M15" s="18"/>
      <c r="N15" s="18"/>
      <c r="O15" s="18"/>
      <c r="P15" s="18"/>
      <c r="Q15" s="18"/>
      <c r="R15" s="18"/>
      <c r="S15" s="18"/>
      <c r="T15" s="18"/>
      <c r="U15" s="18"/>
    </row>
    <row r="16" spans="1:21" x14ac:dyDescent="0.2">
      <c r="A16" s="8"/>
      <c r="B16" s="48">
        <v>-1000</v>
      </c>
      <c r="E16" s="47">
        <f>B17</f>
        <v>0</v>
      </c>
      <c r="G16" s="16"/>
      <c r="H16" s="59"/>
      <c r="I16" s="59"/>
      <c r="J16" s="59"/>
      <c r="K16" s="59"/>
      <c r="L16" s="60"/>
      <c r="M16" s="18"/>
      <c r="N16" s="18"/>
      <c r="O16" s="18"/>
      <c r="P16" s="18"/>
      <c r="Q16" s="18"/>
      <c r="R16" s="18"/>
      <c r="S16" s="18"/>
      <c r="T16" s="18"/>
      <c r="U16" s="18"/>
    </row>
    <row r="17" spans="1:21" x14ac:dyDescent="0.2">
      <c r="A17" s="8" t="s">
        <v>88</v>
      </c>
      <c r="B17" s="5">
        <f>IF(B15&lt;1000,0,SUM(B15:B16))</f>
        <v>0</v>
      </c>
      <c r="C17" s="9" t="s">
        <v>1</v>
      </c>
      <c r="D17" s="9" t="s">
        <v>86</v>
      </c>
      <c r="E17" s="46">
        <f>B15</f>
        <v>0</v>
      </c>
      <c r="G17" s="16"/>
      <c r="H17" s="59"/>
      <c r="I17" s="59"/>
      <c r="J17" s="60"/>
      <c r="K17" s="60"/>
      <c r="L17" s="60"/>
      <c r="M17" s="18"/>
      <c r="N17" s="18"/>
      <c r="O17" s="18"/>
      <c r="P17" s="18"/>
      <c r="Q17" s="18"/>
      <c r="R17" s="18"/>
      <c r="S17" s="18"/>
      <c r="T17" s="18"/>
      <c r="U17" s="18"/>
    </row>
    <row r="18" spans="1:21" x14ac:dyDescent="0.2">
      <c r="A18" s="8"/>
      <c r="B18" s="5"/>
      <c r="E18" s="46"/>
      <c r="G18" s="16"/>
      <c r="H18" s="59"/>
      <c r="I18" s="59"/>
      <c r="J18" s="60"/>
      <c r="K18" s="60"/>
      <c r="L18" s="60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63" t="s">
        <v>114</v>
      </c>
      <c r="B19" s="49"/>
      <c r="E19" s="62"/>
      <c r="G19" s="16"/>
      <c r="H19" s="18"/>
      <c r="I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x14ac:dyDescent="0.2">
      <c r="A20" s="63"/>
      <c r="B20" s="49"/>
      <c r="E20" s="64"/>
      <c r="G20" s="16"/>
      <c r="H20" s="18"/>
      <c r="I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x14ac:dyDescent="0.2">
      <c r="A21" s="8"/>
      <c r="C21" s="15" t="s">
        <v>81</v>
      </c>
      <c r="E21" s="42" t="s">
        <v>80</v>
      </c>
      <c r="G21" s="16"/>
      <c r="H21" s="18"/>
      <c r="I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x14ac:dyDescent="0.2">
      <c r="A22" s="8" t="s">
        <v>4</v>
      </c>
      <c r="C22" s="61" t="s">
        <v>134</v>
      </c>
      <c r="D22" s="9" t="s">
        <v>3</v>
      </c>
      <c r="E22" s="61" t="s">
        <v>131</v>
      </c>
      <c r="G22" s="16"/>
      <c r="H22" s="18"/>
      <c r="I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x14ac:dyDescent="0.2">
      <c r="A23" s="8" t="s">
        <v>2</v>
      </c>
      <c r="C23" s="61" t="s">
        <v>109</v>
      </c>
      <c r="D23" s="9" t="s">
        <v>3</v>
      </c>
      <c r="E23" s="61" t="s">
        <v>109</v>
      </c>
      <c r="G23" s="10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x14ac:dyDescent="0.2">
      <c r="A24" s="8" t="s">
        <v>11</v>
      </c>
      <c r="C24" s="19">
        <f ca="1">+M29</f>
        <v>4</v>
      </c>
      <c r="E24" s="19">
        <f ca="1">+N29</f>
        <v>5</v>
      </c>
      <c r="G24" s="10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x14ac:dyDescent="0.2">
      <c r="A25" s="8"/>
      <c r="G25" s="16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x14ac:dyDescent="0.2">
      <c r="A26" s="8" t="s">
        <v>8</v>
      </c>
      <c r="B26" s="6">
        <v>303</v>
      </c>
      <c r="G26" s="16"/>
      <c r="H26" s="18"/>
      <c r="I26" s="18"/>
      <c r="J26" s="18"/>
      <c r="K26" s="18"/>
      <c r="L26" s="18"/>
      <c r="M26" s="18" t="s">
        <v>25</v>
      </c>
      <c r="N26" s="18" t="s">
        <v>26</v>
      </c>
      <c r="O26" s="18"/>
      <c r="P26" s="18"/>
      <c r="Q26" s="18"/>
      <c r="R26" s="18"/>
      <c r="S26" s="18"/>
      <c r="T26" s="18"/>
      <c r="U26" s="18"/>
    </row>
    <row r="27" spans="1:21" ht="15" x14ac:dyDescent="0.25">
      <c r="A27" s="8" t="s">
        <v>9</v>
      </c>
      <c r="B27" s="6">
        <v>0</v>
      </c>
      <c r="G27" s="10"/>
      <c r="H27" s="18"/>
      <c r="I27" s="18"/>
      <c r="J27" s="18"/>
      <c r="K27" s="18"/>
      <c r="L27" s="18"/>
      <c r="M27" s="45">
        <f ca="1">IF(C22="","",COLUMN(INDIRECT(C22&amp;1)))</f>
        <v>3</v>
      </c>
      <c r="N27" s="45">
        <f ca="1">IF(E22="","",COLUMN(INDIRECT(E22&amp;1)))</f>
        <v>2</v>
      </c>
      <c r="O27" s="18"/>
      <c r="P27" s="18"/>
      <c r="Q27" s="18"/>
      <c r="R27" s="18"/>
      <c r="S27" s="18"/>
      <c r="T27" s="18"/>
      <c r="U27" s="18"/>
    </row>
    <row r="28" spans="1:21" ht="15" x14ac:dyDescent="0.25">
      <c r="A28" s="8" t="s">
        <v>7</v>
      </c>
      <c r="B28" s="9">
        <f>SUM(B26:B27)</f>
        <v>303</v>
      </c>
      <c r="C28" s="9" t="s">
        <v>1</v>
      </c>
      <c r="D28" s="9" t="s">
        <v>10</v>
      </c>
      <c r="G28" s="10"/>
      <c r="H28" s="18"/>
      <c r="I28" s="18"/>
      <c r="J28" s="18"/>
      <c r="K28" s="18"/>
      <c r="L28" s="18"/>
      <c r="M28" s="43">
        <f ca="1">IF(C23="","",COLUMN(INDIRECT(C23&amp;1)))</f>
        <v>7</v>
      </c>
      <c r="N28" s="43">
        <f ca="1">IF(E23="","",COLUMN(INDIRECT(E23&amp;1)))</f>
        <v>7</v>
      </c>
      <c r="O28" s="18"/>
      <c r="P28" s="18"/>
      <c r="Q28" s="18"/>
      <c r="R28" s="18"/>
      <c r="S28" s="18"/>
      <c r="T28" s="18"/>
      <c r="U28" s="18"/>
    </row>
    <row r="29" spans="1:21" x14ac:dyDescent="0.2">
      <c r="A29" s="8"/>
      <c r="G29" s="16"/>
      <c r="H29" s="18"/>
      <c r="I29" s="18"/>
      <c r="J29" s="18"/>
      <c r="K29" s="18"/>
      <c r="L29" s="18" t="s">
        <v>24</v>
      </c>
      <c r="M29" s="18">
        <f ca="1">IF(M28="","",M28-M27)</f>
        <v>4</v>
      </c>
      <c r="N29" s="18">
        <f ca="1">IF(N28="","",N28-N27)</f>
        <v>5</v>
      </c>
      <c r="O29" s="18"/>
      <c r="P29" s="18"/>
      <c r="Q29" s="18"/>
      <c r="R29" s="18"/>
      <c r="S29" s="18"/>
      <c r="T29" s="18"/>
      <c r="U29" s="18"/>
    </row>
    <row r="30" spans="1:21" ht="15" x14ac:dyDescent="0.25">
      <c r="A30" s="8" t="s">
        <v>70</v>
      </c>
      <c r="C30" s="17" t="s">
        <v>79</v>
      </c>
      <c r="G30" s="16"/>
      <c r="H30" s="18"/>
      <c r="I30" s="18"/>
      <c r="J30" s="18"/>
      <c r="K30" s="18"/>
      <c r="L30" s="18"/>
      <c r="M30" s="18">
        <f ca="1">IF(M29&lt;N29,M29,N29)</f>
        <v>4</v>
      </c>
      <c r="N30" s="18"/>
      <c r="O30" s="18"/>
      <c r="P30" s="18"/>
      <c r="Q30" s="18"/>
      <c r="R30" s="18"/>
      <c r="S30" s="18"/>
      <c r="T30" s="18"/>
      <c r="U30" s="18"/>
    </row>
    <row r="31" spans="1:21" x14ac:dyDescent="0.2">
      <c r="A31" s="8" t="s">
        <v>6</v>
      </c>
      <c r="C31" s="62"/>
      <c r="E31" s="9" t="s">
        <v>12</v>
      </c>
      <c r="G31" s="16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x14ac:dyDescent="0.2">
      <c r="A32" s="8" t="s">
        <v>5</v>
      </c>
      <c r="C32" s="62"/>
      <c r="E32" s="9" t="s">
        <v>12</v>
      </c>
      <c r="G32" s="16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x14ac:dyDescent="0.2">
      <c r="A33" s="8"/>
      <c r="G33" s="10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5" x14ac:dyDescent="0.25">
      <c r="A34" s="8" t="s">
        <v>21</v>
      </c>
      <c r="B34" s="62" t="s">
        <v>83</v>
      </c>
      <c r="G34" s="10"/>
      <c r="H34" s="18"/>
      <c r="I34" s="18"/>
      <c r="J34" s="18"/>
      <c r="K34" s="18"/>
      <c r="L34" s="18"/>
      <c r="M34" s="43"/>
      <c r="N34" s="18"/>
      <c r="O34" s="18"/>
      <c r="P34" s="18"/>
      <c r="Q34" s="18"/>
      <c r="R34" s="18"/>
      <c r="S34" s="18"/>
      <c r="T34" s="18"/>
      <c r="U34" s="18"/>
    </row>
    <row r="35" spans="1:21" x14ac:dyDescent="0.2">
      <c r="A35" s="8" t="s">
        <v>22</v>
      </c>
      <c r="B35" s="62"/>
      <c r="C35" s="9" t="s">
        <v>64</v>
      </c>
      <c r="D35" s="7">
        <f>IF(B35="x",B28,0)</f>
        <v>0</v>
      </c>
      <c r="E35" s="9" t="s">
        <v>1</v>
      </c>
      <c r="G35" s="10"/>
      <c r="H35" s="18"/>
      <c r="I35" s="18"/>
      <c r="J35" s="18"/>
      <c r="K35" s="18"/>
      <c r="L35" s="44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8" t="s">
        <v>23</v>
      </c>
      <c r="B36" s="62"/>
      <c r="C36" s="9" t="s">
        <v>64</v>
      </c>
      <c r="D36" s="7">
        <f>IF(B36="x",B28,0)</f>
        <v>0</v>
      </c>
      <c r="E36" s="9" t="s">
        <v>1</v>
      </c>
      <c r="G36" s="10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x14ac:dyDescent="0.2">
      <c r="A37" s="8"/>
      <c r="B37" s="15"/>
      <c r="G37" s="1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x14ac:dyDescent="0.2">
      <c r="A38" s="8" t="s">
        <v>35</v>
      </c>
      <c r="B38" s="15"/>
      <c r="G38" s="10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x14ac:dyDescent="0.2">
      <c r="A39" s="8" t="s">
        <v>36</v>
      </c>
      <c r="B39" s="62"/>
      <c r="G39" s="10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x14ac:dyDescent="0.2">
      <c r="A40" s="8"/>
      <c r="G40" s="10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x14ac:dyDescent="0.2">
      <c r="A41" s="9" t="s">
        <v>92</v>
      </c>
      <c r="B41" s="67" t="s">
        <v>132</v>
      </c>
      <c r="C41" s="67"/>
      <c r="D41" s="67"/>
      <c r="G41" s="10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x14ac:dyDescent="0.2">
      <c r="A42" s="9" t="s">
        <v>93</v>
      </c>
      <c r="B42" s="68" t="s">
        <v>135</v>
      </c>
      <c r="C42" s="69"/>
      <c r="D42" s="69"/>
      <c r="G42" s="10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15" x14ac:dyDescent="0.25">
      <c r="A43" s="17" t="s">
        <v>137</v>
      </c>
      <c r="G43" s="10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15" x14ac:dyDescent="0.25">
      <c r="A44" s="17"/>
      <c r="G44" s="10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5" x14ac:dyDescent="0.25">
      <c r="A45" s="49"/>
      <c r="C45" s="17" t="s">
        <v>79</v>
      </c>
      <c r="D45" s="49"/>
      <c r="G45" s="10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x14ac:dyDescent="0.2">
      <c r="A46" s="65" t="s">
        <v>133</v>
      </c>
      <c r="B46" s="49"/>
      <c r="C46" s="62"/>
      <c r="D46" s="49"/>
      <c r="G46" s="10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x14ac:dyDescent="0.2">
      <c r="A47" s="63" t="s">
        <v>111</v>
      </c>
      <c r="B47" s="49"/>
      <c r="C47" s="62"/>
      <c r="G47" s="10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x14ac:dyDescent="0.2">
      <c r="A48" s="49"/>
      <c r="B48" s="49"/>
      <c r="C48" s="51"/>
      <c r="D48" s="49"/>
      <c r="G48" s="10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5" x14ac:dyDescent="0.25">
      <c r="A49" s="65" t="s">
        <v>112</v>
      </c>
      <c r="B49" s="49"/>
      <c r="C49" s="62"/>
      <c r="G49" s="10"/>
      <c r="H49" s="18"/>
      <c r="I49" s="18"/>
      <c r="J49" s="18"/>
      <c r="K49" s="18"/>
      <c r="L49" s="18"/>
      <c r="M49" s="43"/>
      <c r="N49" s="18"/>
      <c r="O49" s="18"/>
      <c r="P49" s="18"/>
      <c r="Q49" s="18"/>
      <c r="R49" s="18"/>
      <c r="S49" s="18"/>
      <c r="T49" s="18"/>
      <c r="U49" s="18"/>
    </row>
    <row r="50" spans="1:21" x14ac:dyDescent="0.2">
      <c r="B50" s="53"/>
      <c r="C50" s="53"/>
      <c r="G50" s="1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5" thickBot="1" x14ac:dyDescent="0.25">
      <c r="A51" s="11"/>
      <c r="B51" s="54"/>
      <c r="C51" s="54"/>
      <c r="D51" s="12"/>
      <c r="E51" s="12"/>
      <c r="F51" s="12"/>
      <c r="G51" s="13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x14ac:dyDescent="0.2">
      <c r="G52" s="14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x14ac:dyDescent="0.2">
      <c r="G53" s="14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x14ac:dyDescent="0.2">
      <c r="G54" s="14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x14ac:dyDescent="0.2"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x14ac:dyDescent="0.2"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x14ac:dyDescent="0.2"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</sheetData>
  <mergeCells count="2">
    <mergeCell ref="B41:D41"/>
    <mergeCell ref="B42:D42"/>
  </mergeCells>
  <dataValidations count="2">
    <dataValidation type="list" allowBlank="1" showInputMessage="1" showErrorMessage="1" sqref="B41" xr:uid="{D7711DAC-4A2D-4CC3-8BE1-9EE56E61C0E6}">
      <formula1>"Ölheizung,Erdgasheizung,Holzheizung 70kW,Wärmepumpe"</formula1>
    </dataValidation>
    <dataValidation type="list" allowBlank="1" showInputMessage="1" showErrorMessage="1" sqref="B42:D42" xr:uid="{CF692D93-D7CD-44F0-90BC-C84992B80022}">
      <formula1>"Wärmepumpe Sole/Wasser,Wärmepumpe Luft/Wasser,Holzheizung 70kW"</formula1>
    </dataValidation>
  </dataValidations>
  <pageMargins left="0.7" right="0.7" top="0.78740157499999996" bottom="0.78740157499999996" header="0.3" footer="0.3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CAC50-5CEB-44D3-B9AB-4A0FDFFF2832}">
  <sheetPr codeName="Tabelle3">
    <pageSetUpPr fitToPage="1"/>
  </sheetPr>
  <dimension ref="A1:R86"/>
  <sheetViews>
    <sheetView view="pageLayout" topLeftCell="A12" zoomScaleNormal="100" workbookViewId="0">
      <selection activeCell="D23" sqref="D23"/>
    </sheetView>
  </sheetViews>
  <sheetFormatPr baseColWidth="10" defaultRowHeight="12.75" x14ac:dyDescent="0.2"/>
  <cols>
    <col min="1" max="4" width="11.42578125" style="29"/>
    <col min="5" max="5" width="5.7109375" style="29" customWidth="1"/>
    <col min="6" max="6" width="14.85546875" style="29" bestFit="1" customWidth="1"/>
    <col min="7" max="7" width="16.140625" style="29" bestFit="1" customWidth="1"/>
    <col min="8" max="8" width="18.85546875" style="29" customWidth="1"/>
    <col min="9" max="9" width="18" style="29" customWidth="1"/>
    <col min="10" max="12" width="13" style="29" bestFit="1" customWidth="1"/>
    <col min="13" max="15" width="11.42578125" style="29"/>
    <col min="16" max="16" width="12.28515625" style="29" bestFit="1" customWidth="1"/>
    <col min="17" max="16384" width="11.42578125" style="29"/>
  </cols>
  <sheetData>
    <row r="1" spans="1:8" x14ac:dyDescent="0.2">
      <c r="A1" s="28" t="s">
        <v>19</v>
      </c>
      <c r="G1" s="29" t="s">
        <v>129</v>
      </c>
      <c r="H1" s="30" t="s">
        <v>139</v>
      </c>
    </row>
    <row r="2" spans="1:8" x14ac:dyDescent="0.2">
      <c r="A2" s="28"/>
      <c r="H2" s="31" t="s">
        <v>32</v>
      </c>
    </row>
    <row r="3" spans="1:8" x14ac:dyDescent="0.2">
      <c r="A3" s="28" t="s">
        <v>108</v>
      </c>
      <c r="H3" s="30"/>
    </row>
    <row r="5" spans="1:8" x14ac:dyDescent="0.2">
      <c r="A5" s="28" t="s">
        <v>96</v>
      </c>
    </row>
    <row r="7" spans="1:8" x14ac:dyDescent="0.2">
      <c r="A7" s="29" t="s">
        <v>78</v>
      </c>
      <c r="F7" s="32"/>
    </row>
    <row r="8" spans="1:8" x14ac:dyDescent="0.2">
      <c r="F8" s="32"/>
      <c r="H8" s="32"/>
    </row>
    <row r="9" spans="1:8" x14ac:dyDescent="0.2">
      <c r="A9" s="29" t="s">
        <v>89</v>
      </c>
      <c r="F9" s="32">
        <f>Eingaben!E15*Fördersätze!A5</f>
        <v>0</v>
      </c>
      <c r="G9" s="32"/>
      <c r="H9" s="32"/>
    </row>
    <row r="10" spans="1:8" x14ac:dyDescent="0.2">
      <c r="A10" s="29" t="s">
        <v>90</v>
      </c>
      <c r="F10" s="32">
        <f>((Eingaben!E16*Fördersätze!A6)/100)*75</f>
        <v>0</v>
      </c>
      <c r="G10" s="32"/>
      <c r="H10" s="32">
        <f>SUM(F9:F10)</f>
        <v>0</v>
      </c>
    </row>
    <row r="11" spans="1:8" x14ac:dyDescent="0.2">
      <c r="F11" s="32"/>
      <c r="G11" s="32"/>
      <c r="H11" s="32"/>
    </row>
    <row r="12" spans="1:8" x14ac:dyDescent="0.2">
      <c r="A12" s="29" t="s">
        <v>27</v>
      </c>
      <c r="F12" s="32"/>
      <c r="G12" s="32"/>
      <c r="H12" s="32"/>
    </row>
    <row r="13" spans="1:8" x14ac:dyDescent="0.2">
      <c r="A13" s="29" t="s">
        <v>28</v>
      </c>
      <c r="F13" s="32">
        <f ca="1">IF(Eingaben!M27&lt;=3,Fördersätze!I25,Fördersätze!J25)</f>
        <v>12120</v>
      </c>
      <c r="G13" s="32"/>
      <c r="H13" s="32">
        <f ca="1">IF(F13&gt;F38,F13,0)</f>
        <v>12120</v>
      </c>
    </row>
    <row r="14" spans="1:8" x14ac:dyDescent="0.2">
      <c r="A14" s="29" t="s">
        <v>31</v>
      </c>
      <c r="F14" s="32"/>
      <c r="G14" s="32"/>
      <c r="H14" s="32"/>
    </row>
    <row r="15" spans="1:8" x14ac:dyDescent="0.2">
      <c r="A15" s="29" t="s">
        <v>113</v>
      </c>
      <c r="F15" s="32"/>
      <c r="G15" s="32"/>
      <c r="H15" s="32"/>
    </row>
    <row r="16" spans="1:8" x14ac:dyDescent="0.2">
      <c r="F16" s="32"/>
      <c r="G16" s="32"/>
      <c r="H16" s="32"/>
    </row>
    <row r="17" spans="1:18" x14ac:dyDescent="0.2">
      <c r="A17" s="29" t="s">
        <v>33</v>
      </c>
      <c r="F17" s="32">
        <f>IF(Eingaben!B39="x",H10*0.3,Fördersätze!J25)</f>
        <v>0</v>
      </c>
      <c r="G17" s="32"/>
      <c r="H17" s="32"/>
    </row>
    <row r="18" spans="1:18" x14ac:dyDescent="0.2">
      <c r="F18" s="32"/>
      <c r="G18" s="32"/>
      <c r="H18" s="32"/>
    </row>
    <row r="19" spans="1:18" x14ac:dyDescent="0.2">
      <c r="A19" s="29" t="s">
        <v>34</v>
      </c>
      <c r="F19" s="32"/>
      <c r="G19" s="32">
        <f>SUM(F17:F18)</f>
        <v>0</v>
      </c>
      <c r="H19" s="32">
        <f>G19</f>
        <v>0</v>
      </c>
    </row>
    <row r="20" spans="1:18" x14ac:dyDescent="0.2">
      <c r="F20" s="32"/>
      <c r="G20" s="32"/>
      <c r="H20" s="32"/>
    </row>
    <row r="21" spans="1:18" x14ac:dyDescent="0.2">
      <c r="A21" s="29" t="s">
        <v>30</v>
      </c>
      <c r="F21" s="32"/>
      <c r="H21" s="32">
        <f ca="1">SUM(H9:H19)</f>
        <v>12120</v>
      </c>
    </row>
    <row r="22" spans="1:18" x14ac:dyDescent="0.2">
      <c r="F22" s="32"/>
      <c r="H22" s="32"/>
    </row>
    <row r="23" spans="1:18" x14ac:dyDescent="0.2">
      <c r="A23" s="28" t="s">
        <v>97</v>
      </c>
      <c r="F23" s="32"/>
      <c r="H23" s="32"/>
    </row>
    <row r="24" spans="1:18" x14ac:dyDescent="0.2">
      <c r="F24" s="32"/>
      <c r="H24" s="32"/>
      <c r="I24" s="29">
        <f>IF(G26&gt;0,G26,0)</f>
        <v>0</v>
      </c>
      <c r="J24" s="1" t="s">
        <v>119</v>
      </c>
      <c r="K24" s="1" t="s">
        <v>120</v>
      </c>
      <c r="L24" s="1" t="s">
        <v>121</v>
      </c>
      <c r="M24" s="1" t="s">
        <v>122</v>
      </c>
      <c r="N24" s="1" t="s">
        <v>123</v>
      </c>
      <c r="O24" s="1" t="s">
        <v>124</v>
      </c>
      <c r="P24" s="1" t="s">
        <v>125</v>
      </c>
      <c r="Q24" s="1" t="s">
        <v>126</v>
      </c>
      <c r="R24" s="1" t="s">
        <v>127</v>
      </c>
    </row>
    <row r="25" spans="1:18" x14ac:dyDescent="0.2">
      <c r="A25" s="29" t="s">
        <v>98</v>
      </c>
      <c r="F25" s="32">
        <f>LARGE(J25:R25,1)</f>
        <v>10000</v>
      </c>
      <c r="H25" s="32"/>
      <c r="I25" s="29">
        <f>IF(Eingaben!B42="Wärmepumpe Luft/Wasser",0,I24)</f>
        <v>0</v>
      </c>
      <c r="J25" s="55">
        <f>IF(AND(Eingaben!B34="x",Eingaben!B42="Wärmepumpe Sole/Wasser"),Fördersätze!A108,Fördersätze!J25)</f>
        <v>10000</v>
      </c>
      <c r="K25" s="55">
        <f>IF(AND(Eingaben!B35="x",Eingaben!B42="Wärmepumpe Sole/Wasser"),Fördersätze!A109,Fördersätze!J25)</f>
        <v>0</v>
      </c>
      <c r="L25" s="55">
        <f>IF(AND(Eingaben!B36="x",Eingaben!B42="Wärmepumpe Sole/Wasser"),Fördersätze!A110,Fördersätze!J25)</f>
        <v>0</v>
      </c>
      <c r="M25" s="29">
        <f>IF(AND(Eingaben!B34="x",Eingaben!B42="Wärmepumpe Luft/Wasser"),Fördersätze!D108,Fördersätze!J25)</f>
        <v>0</v>
      </c>
      <c r="N25" s="29">
        <f>IF(AND(Eingaben!B35="x",Eingaben!B42="Wärmepumpe Luft/Wasser"),Fördersätze!D109,Fördersätze!K25)</f>
        <v>0</v>
      </c>
      <c r="O25" s="29">
        <f>IF(AND(Eingaben!B36="x",Eingaben!B42="Wärmepumpe Luft/Wasser"),Fördersätze!D110,Fördersätze!L25)</f>
        <v>0</v>
      </c>
      <c r="P25" s="32">
        <f>IF(AND(Eingaben!B34="x",Eingaben!B42="Holzheizung 70kW"),Fördersätze!G108,Fördersätze!M25)</f>
        <v>0</v>
      </c>
      <c r="Q25" s="32">
        <f>IF(AND(Eingaben!B35="x",Eingaben!B42="Holzheizung 70kW"),Fördersätze!G109,Fördersätze!J25)</f>
        <v>0</v>
      </c>
      <c r="R25" s="32">
        <f>IF(AND(Eingaben!B36="x",Eingaben!B42="Holzheizung 70kW"),Fördersätze!G109,Fördersätze!J25)</f>
        <v>0</v>
      </c>
    </row>
    <row r="26" spans="1:18" x14ac:dyDescent="0.2">
      <c r="F26" s="32"/>
      <c r="G26" s="29">
        <f>IF(F25&gt;F27,F27,F25)</f>
        <v>0</v>
      </c>
      <c r="H26" s="32"/>
      <c r="I26" s="29">
        <f>IF(G26=0,F25,0)</f>
        <v>10000</v>
      </c>
      <c r="L26" s="55"/>
    </row>
    <row r="27" spans="1:18" x14ac:dyDescent="0.2">
      <c r="A27" s="29" t="s">
        <v>99</v>
      </c>
      <c r="F27" s="32">
        <f>_xlfn.IFNA(_xlfn.IFS(Eingaben!B41="Holzheizung 70kW",Resultat!F25*0.3,Eingaben!B41="Wärmepumpe",Resultat!F25*0.3),0)</f>
        <v>0</v>
      </c>
      <c r="H27" s="32"/>
      <c r="L27" s="55"/>
      <c r="P27" s="32">
        <f>SUM(P25:R25)</f>
        <v>0</v>
      </c>
    </row>
    <row r="28" spans="1:18" x14ac:dyDescent="0.2">
      <c r="F28" s="32"/>
      <c r="H28" s="32">
        <f>SUM(I25:I26)</f>
        <v>10000</v>
      </c>
      <c r="L28" s="55"/>
    </row>
    <row r="29" spans="1:18" x14ac:dyDescent="0.2">
      <c r="F29" s="32"/>
      <c r="H29" s="32"/>
    </row>
    <row r="30" spans="1:18" x14ac:dyDescent="0.2">
      <c r="F30" s="32"/>
      <c r="H30" s="32"/>
    </row>
    <row r="31" spans="1:18" x14ac:dyDescent="0.2">
      <c r="F31" s="32"/>
      <c r="H31" s="32"/>
    </row>
    <row r="32" spans="1:18" x14ac:dyDescent="0.2">
      <c r="A32" s="29" t="s">
        <v>118</v>
      </c>
      <c r="F32" s="32">
        <f>IF(Eingaben!C47="x",J32,Fördersätze!J25)</f>
        <v>0</v>
      </c>
      <c r="H32" s="32">
        <f>IF(F35&lt;F32,F32,Fördersätze!J25)</f>
        <v>0</v>
      </c>
      <c r="J32" s="29">
        <f>_xlfn.IFNA(_xlfn.IFS(Eingaben!B34="x",Fördersätze!A115,Eingaben!B35="x",Fördersätze!A116*Eingaben!D35,Eingaben!B36="x",Fördersätze!A117*Eingaben!D36),0)</f>
        <v>3000</v>
      </c>
    </row>
    <row r="33" spans="1:8" x14ac:dyDescent="0.2">
      <c r="A33" s="29" t="s">
        <v>103</v>
      </c>
      <c r="F33" s="32"/>
      <c r="H33" s="32"/>
    </row>
    <row r="34" spans="1:8" x14ac:dyDescent="0.2">
      <c r="F34" s="32"/>
      <c r="H34" s="32"/>
    </row>
    <row r="35" spans="1:8" x14ac:dyDescent="0.2">
      <c r="A35" s="29" t="s">
        <v>141</v>
      </c>
      <c r="F35" s="32">
        <f>IF(Eingaben!E19="x",Fördersätze!A23*Eingaben!B9,Fördersätze!J25)</f>
        <v>0</v>
      </c>
      <c r="G35" s="55"/>
      <c r="H35" s="32">
        <f>IF(F32&lt;F35,F35,Fördersätze!J25)</f>
        <v>0</v>
      </c>
    </row>
    <row r="36" spans="1:8" x14ac:dyDescent="0.2">
      <c r="A36" s="29" t="s">
        <v>140</v>
      </c>
      <c r="F36" s="32"/>
      <c r="H36" s="32"/>
    </row>
    <row r="37" spans="1:8" x14ac:dyDescent="0.2">
      <c r="F37" s="32"/>
      <c r="H37" s="32"/>
    </row>
    <row r="38" spans="1:8" x14ac:dyDescent="0.2">
      <c r="A38" s="29" t="s">
        <v>101</v>
      </c>
      <c r="F38" s="32">
        <f>_xlfn.IFNA(_xlfn.IFS(Eingaben!B34="x",Fördersätze!A115,Eingaben!B35="x",Fördersätze!A116*Eingaben!D35,Eingaben!B36="x",Fördersätze!A117*Eingaben!D36),100000)</f>
        <v>3000</v>
      </c>
      <c r="G38" s="55"/>
      <c r="H38" s="32">
        <f ca="1">IF(F38&lt;F13,0,F38)</f>
        <v>0</v>
      </c>
    </row>
    <row r="39" spans="1:8" x14ac:dyDescent="0.2">
      <c r="A39" s="29" t="s">
        <v>128</v>
      </c>
      <c r="F39" s="32"/>
      <c r="H39" s="32"/>
    </row>
    <row r="40" spans="1:8" x14ac:dyDescent="0.2">
      <c r="F40" s="32"/>
      <c r="H40" s="32"/>
    </row>
    <row r="41" spans="1:8" x14ac:dyDescent="0.2">
      <c r="F41" s="32"/>
      <c r="H41" s="32"/>
    </row>
    <row r="42" spans="1:8" x14ac:dyDescent="0.2">
      <c r="A42" s="35" t="s">
        <v>102</v>
      </c>
      <c r="B42" s="35"/>
      <c r="C42" s="35"/>
      <c r="D42" s="35"/>
      <c r="E42" s="35"/>
      <c r="F42" s="41"/>
      <c r="G42" s="35"/>
      <c r="H42" s="41">
        <f ca="1">SUM(H21)</f>
        <v>12120</v>
      </c>
    </row>
    <row r="43" spans="1:8" x14ac:dyDescent="0.2">
      <c r="A43" s="35" t="s">
        <v>136</v>
      </c>
      <c r="B43" s="35"/>
      <c r="C43" s="35"/>
      <c r="D43" s="35"/>
      <c r="E43" s="35"/>
      <c r="F43" s="35"/>
      <c r="G43" s="35"/>
      <c r="H43" s="41">
        <f ca="1">SUM(H23:H41)</f>
        <v>10000</v>
      </c>
    </row>
    <row r="44" spans="1:8" x14ac:dyDescent="0.2">
      <c r="H44" s="32"/>
    </row>
    <row r="45" spans="1:8" x14ac:dyDescent="0.2">
      <c r="F45" s="33"/>
      <c r="G45" s="32"/>
      <c r="H45" s="32"/>
    </row>
    <row r="46" spans="1:8" x14ac:dyDescent="0.2">
      <c r="A46" s="34" t="s">
        <v>104</v>
      </c>
      <c r="B46" s="35"/>
      <c r="C46" s="35"/>
      <c r="D46" s="35"/>
      <c r="E46" s="35"/>
      <c r="F46" s="40"/>
      <c r="G46" s="41"/>
      <c r="H46" s="36">
        <f ca="1">SUM(H42:H43)</f>
        <v>22120</v>
      </c>
    </row>
    <row r="47" spans="1:8" x14ac:dyDescent="0.2">
      <c r="F47" s="33"/>
      <c r="G47" s="32"/>
    </row>
    <row r="48" spans="1:8" x14ac:dyDescent="0.2">
      <c r="A48" s="37"/>
      <c r="B48" s="37"/>
      <c r="C48" s="37"/>
      <c r="D48" s="37"/>
      <c r="E48" s="37"/>
      <c r="F48" s="38"/>
      <c r="G48" s="39"/>
      <c r="H48" s="37"/>
    </row>
    <row r="49" spans="1:8" x14ac:dyDescent="0.2">
      <c r="A49" s="28" t="s">
        <v>105</v>
      </c>
      <c r="F49" s="33"/>
      <c r="G49" s="32"/>
    </row>
    <row r="50" spans="1:8" x14ac:dyDescent="0.2">
      <c r="F50" s="33"/>
      <c r="G50" s="32"/>
    </row>
    <row r="51" spans="1:8" x14ac:dyDescent="0.2">
      <c r="A51" s="29" t="s">
        <v>78</v>
      </c>
      <c r="F51" s="33"/>
      <c r="G51" s="32"/>
    </row>
    <row r="52" spans="1:8" x14ac:dyDescent="0.2">
      <c r="F52" s="33"/>
      <c r="G52" s="32"/>
    </row>
    <row r="53" spans="1:8" x14ac:dyDescent="0.2">
      <c r="F53" s="32"/>
      <c r="G53" s="32"/>
    </row>
    <row r="54" spans="1:8" x14ac:dyDescent="0.2">
      <c r="A54" s="29" t="s">
        <v>106</v>
      </c>
      <c r="F54" s="32">
        <f ca="1">Fördersätze!I54</f>
        <v>35300</v>
      </c>
      <c r="G54" s="32"/>
    </row>
    <row r="55" spans="1:8" x14ac:dyDescent="0.2">
      <c r="F55" s="32"/>
      <c r="G55" s="32"/>
    </row>
    <row r="56" spans="1:8" x14ac:dyDescent="0.2">
      <c r="A56" s="29" t="s">
        <v>107</v>
      </c>
      <c r="F56" s="32"/>
      <c r="G56" s="32">
        <f ca="1">SUM(F53:F54)</f>
        <v>35300</v>
      </c>
    </row>
    <row r="57" spans="1:8" x14ac:dyDescent="0.2">
      <c r="F57" s="32"/>
      <c r="G57" s="32"/>
    </row>
    <row r="58" spans="1:8" x14ac:dyDescent="0.2">
      <c r="A58" s="29" t="s">
        <v>33</v>
      </c>
      <c r="F58" s="32">
        <f>IF(Eingaben!B39="x",Resultat!G56*0.3,Fördersätze!J25)</f>
        <v>0</v>
      </c>
      <c r="G58" s="32"/>
    </row>
    <row r="59" spans="1:8" x14ac:dyDescent="0.2">
      <c r="F59" s="33"/>
      <c r="G59" s="32"/>
    </row>
    <row r="60" spans="1:8" x14ac:dyDescent="0.2">
      <c r="A60" s="29" t="s">
        <v>34</v>
      </c>
      <c r="F60" s="33"/>
      <c r="G60" s="32">
        <f>SUM(F58:F59)</f>
        <v>0</v>
      </c>
    </row>
    <row r="61" spans="1:8" x14ac:dyDescent="0.2">
      <c r="F61" s="33"/>
      <c r="G61" s="32"/>
    </row>
    <row r="62" spans="1:8" x14ac:dyDescent="0.2">
      <c r="A62" s="34" t="s">
        <v>53</v>
      </c>
      <c r="B62" s="35"/>
      <c r="C62" s="35"/>
      <c r="D62" s="35"/>
      <c r="E62" s="35"/>
      <c r="F62" s="40"/>
      <c r="G62" s="41"/>
      <c r="H62" s="36">
        <f ca="1">SUM(G56:G60)</f>
        <v>35300</v>
      </c>
    </row>
    <row r="63" spans="1:8" x14ac:dyDescent="0.2">
      <c r="F63" s="33"/>
      <c r="G63" s="32"/>
    </row>
    <row r="64" spans="1:8" x14ac:dyDescent="0.2">
      <c r="A64" s="56"/>
      <c r="B64" s="56"/>
      <c r="C64" s="56"/>
      <c r="D64" s="56"/>
      <c r="E64" s="56"/>
      <c r="F64" s="57"/>
      <c r="G64" s="58"/>
      <c r="H64" s="56"/>
    </row>
    <row r="65" spans="1:8" x14ac:dyDescent="0.2">
      <c r="A65" s="28" t="s">
        <v>54</v>
      </c>
      <c r="F65" s="33"/>
      <c r="G65" s="32"/>
    </row>
    <row r="66" spans="1:8" x14ac:dyDescent="0.2">
      <c r="A66" s="29" t="s">
        <v>68</v>
      </c>
      <c r="F66" s="33"/>
      <c r="G66" s="32"/>
    </row>
    <row r="67" spans="1:8" x14ac:dyDescent="0.2">
      <c r="F67" s="33"/>
      <c r="G67" s="32"/>
    </row>
    <row r="68" spans="1:8" x14ac:dyDescent="0.2">
      <c r="A68" s="29" t="s">
        <v>78</v>
      </c>
      <c r="F68" s="33"/>
      <c r="G68" s="32">
        <f>Fördersätze!J75</f>
        <v>0</v>
      </c>
    </row>
    <row r="69" spans="1:8" x14ac:dyDescent="0.2">
      <c r="F69" s="33"/>
      <c r="G69" s="32"/>
    </row>
    <row r="70" spans="1:8" x14ac:dyDescent="0.2">
      <c r="A70" s="29" t="s">
        <v>33</v>
      </c>
      <c r="F70" s="32">
        <f>IF(Eingaben!B39="x",Resultat!G68*0.3,Fördersätze!J25)</f>
        <v>0</v>
      </c>
      <c r="G70" s="32"/>
    </row>
    <row r="71" spans="1:8" x14ac:dyDescent="0.2">
      <c r="F71" s="33"/>
      <c r="G71" s="32"/>
    </row>
    <row r="72" spans="1:8" x14ac:dyDescent="0.2">
      <c r="A72" s="29" t="s">
        <v>34</v>
      </c>
      <c r="F72" s="33"/>
      <c r="G72" s="32">
        <f>SUM(F70:F71)</f>
        <v>0</v>
      </c>
    </row>
    <row r="73" spans="1:8" x14ac:dyDescent="0.2">
      <c r="F73" s="33"/>
      <c r="G73" s="32"/>
    </row>
    <row r="74" spans="1:8" x14ac:dyDescent="0.2">
      <c r="A74" s="34" t="s">
        <v>67</v>
      </c>
      <c r="B74" s="35"/>
      <c r="C74" s="35"/>
      <c r="D74" s="35"/>
      <c r="E74" s="35"/>
      <c r="F74" s="40"/>
      <c r="G74" s="41"/>
      <c r="H74" s="36">
        <f>SUM(G68:G72)</f>
        <v>0</v>
      </c>
    </row>
    <row r="75" spans="1:8" x14ac:dyDescent="0.2">
      <c r="F75" s="33"/>
      <c r="G75" s="32"/>
    </row>
    <row r="76" spans="1:8" x14ac:dyDescent="0.2">
      <c r="F76" s="33"/>
      <c r="G76" s="32"/>
    </row>
    <row r="77" spans="1:8" x14ac:dyDescent="0.2">
      <c r="A77" s="28" t="s">
        <v>69</v>
      </c>
      <c r="F77" s="33"/>
      <c r="G77" s="32"/>
    </row>
    <row r="78" spans="1:8" x14ac:dyDescent="0.2">
      <c r="A78" s="29" t="s">
        <v>68</v>
      </c>
      <c r="F78" s="33"/>
      <c r="G78" s="32"/>
    </row>
    <row r="79" spans="1:8" x14ac:dyDescent="0.2">
      <c r="F79" s="33"/>
      <c r="G79" s="32"/>
    </row>
    <row r="80" spans="1:8" x14ac:dyDescent="0.2">
      <c r="A80" s="29" t="s">
        <v>78</v>
      </c>
      <c r="F80" s="33"/>
      <c r="G80" s="32">
        <f>Fördersätze!J97</f>
        <v>0</v>
      </c>
    </row>
    <row r="81" spans="1:8" x14ac:dyDescent="0.2">
      <c r="F81" s="33"/>
      <c r="G81" s="32"/>
    </row>
    <row r="82" spans="1:8" x14ac:dyDescent="0.2">
      <c r="A82" s="29" t="s">
        <v>33</v>
      </c>
      <c r="F82" s="32">
        <f>IF(Eingaben!B39="x",Resultat!G80*3,Fördersätze!J25)</f>
        <v>0</v>
      </c>
      <c r="G82" s="32"/>
    </row>
    <row r="83" spans="1:8" x14ac:dyDescent="0.2">
      <c r="F83" s="33"/>
      <c r="G83" s="32"/>
    </row>
    <row r="84" spans="1:8" x14ac:dyDescent="0.2">
      <c r="A84" s="29" t="s">
        <v>34</v>
      </c>
      <c r="F84" s="33"/>
      <c r="G84" s="32">
        <f>SUM(F82:F83)</f>
        <v>0</v>
      </c>
    </row>
    <row r="85" spans="1:8" x14ac:dyDescent="0.2">
      <c r="F85" s="33"/>
      <c r="G85" s="32"/>
    </row>
    <row r="86" spans="1:8" x14ac:dyDescent="0.2">
      <c r="A86" s="34" t="s">
        <v>82</v>
      </c>
      <c r="B86" s="35"/>
      <c r="C86" s="35"/>
      <c r="D86" s="35"/>
      <c r="E86" s="35"/>
      <c r="F86" s="40"/>
      <c r="G86" s="41"/>
      <c r="H86" s="36">
        <f>SUM(G80:G84)</f>
        <v>0</v>
      </c>
    </row>
  </sheetData>
  <pageMargins left="0.57041666666666668" right="3.937007874015748E-2" top="0.39370078740157483" bottom="0.39370078740157483" header="0.31496062992125984" footer="0.31496062992125984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24DAE-878B-4AD7-A1E5-9526FCB9E6B5}">
  <sheetPr codeName="Tabelle2"/>
  <dimension ref="A1:M127"/>
  <sheetViews>
    <sheetView tabSelected="1" zoomScaleNormal="100" workbookViewId="0">
      <selection activeCell="D19" sqref="D19"/>
    </sheetView>
  </sheetViews>
  <sheetFormatPr baseColWidth="10" defaultRowHeight="11.25" x14ac:dyDescent="0.2"/>
  <cols>
    <col min="1" max="1" width="14.85546875" style="1" bestFit="1" customWidth="1"/>
    <col min="2" max="3" width="11.42578125" style="1"/>
    <col min="4" max="4" width="11.5703125" style="1" bestFit="1" customWidth="1"/>
    <col min="5" max="5" width="11.42578125" style="1"/>
    <col min="6" max="6" width="12.85546875" style="1" customWidth="1"/>
    <col min="7" max="7" width="13.85546875" style="1" customWidth="1"/>
    <col min="8" max="8" width="11.5703125" style="1" bestFit="1" customWidth="1"/>
    <col min="9" max="9" width="16.7109375" style="1" customWidth="1"/>
    <col min="10" max="11" width="11.5703125" style="1" bestFit="1" customWidth="1"/>
    <col min="12" max="12" width="15.28515625" style="1" customWidth="1"/>
    <col min="13" max="16384" width="11.42578125" style="1"/>
  </cols>
  <sheetData>
    <row r="1" spans="1:9" x14ac:dyDescent="0.2">
      <c r="A1" s="1" t="s">
        <v>13</v>
      </c>
    </row>
    <row r="3" spans="1:9" x14ac:dyDescent="0.2">
      <c r="A3" s="2" t="s">
        <v>39</v>
      </c>
    </row>
    <row r="5" spans="1:9" x14ac:dyDescent="0.2">
      <c r="A5" s="3">
        <v>50</v>
      </c>
      <c r="B5" s="1" t="s">
        <v>0</v>
      </c>
    </row>
    <row r="6" spans="1:9" x14ac:dyDescent="0.2">
      <c r="A6" s="3">
        <v>50</v>
      </c>
      <c r="B6" s="1" t="s">
        <v>14</v>
      </c>
    </row>
    <row r="7" spans="1:9" x14ac:dyDescent="0.2">
      <c r="A7" s="3"/>
    </row>
    <row r="8" spans="1:9" x14ac:dyDescent="0.2">
      <c r="A8" s="1" t="s">
        <v>44</v>
      </c>
    </row>
    <row r="9" spans="1:9" x14ac:dyDescent="0.2">
      <c r="A9" s="3">
        <v>20</v>
      </c>
      <c r="B9" s="1" t="s">
        <v>15</v>
      </c>
      <c r="H9" s="1">
        <v>2</v>
      </c>
      <c r="I9" s="1">
        <f ca="1">IF(Eingaben!M29=Fördersätze!H9,A9*Eingaben!B26,0)</f>
        <v>0</v>
      </c>
    </row>
    <row r="10" spans="1:9" x14ac:dyDescent="0.2">
      <c r="A10" s="3">
        <v>30</v>
      </c>
      <c r="B10" s="1" t="s">
        <v>16</v>
      </c>
      <c r="H10" s="1">
        <v>3</v>
      </c>
      <c r="I10" s="1">
        <f ca="1">IF(Eingaben!M29=Fördersätze!H10,A10*Eingaben!B26,0)</f>
        <v>0</v>
      </c>
    </row>
    <row r="11" spans="1:9" x14ac:dyDescent="0.2">
      <c r="A11" s="3">
        <v>40</v>
      </c>
      <c r="B11" s="1" t="s">
        <v>17</v>
      </c>
      <c r="H11" s="1">
        <v>4</v>
      </c>
      <c r="I11" s="1">
        <f ca="1">IF(Eingaben!M29=Fördersätze!H11,A11*Eingaben!B26,0)</f>
        <v>12120</v>
      </c>
    </row>
    <row r="12" spans="1:9" x14ac:dyDescent="0.2">
      <c r="A12" s="3">
        <v>50</v>
      </c>
      <c r="B12" s="1" t="s">
        <v>18</v>
      </c>
      <c r="H12" s="1">
        <v>5</v>
      </c>
      <c r="I12" s="1">
        <f ca="1">IF(Eingaben!M29=Fördersätze!H12,A12*Eingaben!B26,0)</f>
        <v>0</v>
      </c>
    </row>
    <row r="13" spans="1:9" x14ac:dyDescent="0.2">
      <c r="A13" s="3">
        <v>50</v>
      </c>
      <c r="B13" s="1" t="s">
        <v>84</v>
      </c>
      <c r="H13" s="1">
        <v>6</v>
      </c>
      <c r="I13" s="1">
        <f ca="1">IF(Eingaben!M29=Fördersätze!H13,A13*Eingaben!B26,0)</f>
        <v>0</v>
      </c>
    </row>
    <row r="14" spans="1:9" x14ac:dyDescent="0.2">
      <c r="A14" s="3"/>
    </row>
    <row r="15" spans="1:9" x14ac:dyDescent="0.2">
      <c r="A15" s="1" t="s">
        <v>46</v>
      </c>
    </row>
    <row r="16" spans="1:9" x14ac:dyDescent="0.2">
      <c r="A16" s="3">
        <v>10</v>
      </c>
      <c r="B16" s="1" t="s">
        <v>51</v>
      </c>
      <c r="H16" s="1">
        <v>2</v>
      </c>
      <c r="I16" s="1">
        <f ca="1">IF(Eingaben!M29=Fördersätze!H16,A16*Eingaben!B27,0)</f>
        <v>0</v>
      </c>
    </row>
    <row r="17" spans="1:10" x14ac:dyDescent="0.2">
      <c r="A17" s="3">
        <v>15</v>
      </c>
      <c r="B17" s="1" t="s">
        <v>48</v>
      </c>
      <c r="H17" s="1">
        <v>3</v>
      </c>
      <c r="I17" s="1">
        <f ca="1">IF(Eingaben!M29=Fördersätze!H17,A17*Eingaben!B27,0)</f>
        <v>0</v>
      </c>
    </row>
    <row r="18" spans="1:10" x14ac:dyDescent="0.2">
      <c r="A18" s="3">
        <v>20</v>
      </c>
      <c r="B18" s="1" t="s">
        <v>49</v>
      </c>
      <c r="H18" s="1">
        <v>4</v>
      </c>
      <c r="I18" s="1">
        <f ca="1">IF(Eingaben!M29=Fördersätze!H18,A18*Eingaben!B27,0)</f>
        <v>0</v>
      </c>
    </row>
    <row r="19" spans="1:10" x14ac:dyDescent="0.2">
      <c r="A19" s="3">
        <v>25</v>
      </c>
      <c r="B19" s="1" t="s">
        <v>50</v>
      </c>
      <c r="H19" s="1">
        <v>5</v>
      </c>
      <c r="I19" s="1">
        <f ca="1">IF(Eingaben!M29=Fördersätze!H19,A19*Eingaben!B27,0)</f>
        <v>0</v>
      </c>
    </row>
    <row r="20" spans="1:10" x14ac:dyDescent="0.2">
      <c r="A20" s="3">
        <v>25</v>
      </c>
      <c r="B20" s="1" t="s">
        <v>85</v>
      </c>
      <c r="H20" s="1">
        <v>6</v>
      </c>
      <c r="I20" s="1">
        <f ca="1">IF(Eingaben!M29=Fördersätze!H20,A20*Eingaben!B27,0)</f>
        <v>0</v>
      </c>
    </row>
    <row r="21" spans="1:10" x14ac:dyDescent="0.2">
      <c r="A21" s="3"/>
    </row>
    <row r="22" spans="1:10" x14ac:dyDescent="0.2">
      <c r="A22" s="3" t="s">
        <v>142</v>
      </c>
    </row>
    <row r="23" spans="1:10" x14ac:dyDescent="0.2">
      <c r="A23" s="3">
        <v>40</v>
      </c>
      <c r="B23" s="1" t="s">
        <v>110</v>
      </c>
      <c r="I23" s="1">
        <f ca="1">IF(Eingaben!M29=Fördersätze!H20,A20*Eingaben!B27,0)</f>
        <v>0</v>
      </c>
    </row>
    <row r="25" spans="1:10" x14ac:dyDescent="0.2">
      <c r="G25" s="1" t="s">
        <v>29</v>
      </c>
      <c r="I25" s="3">
        <f ca="1">SUM(I9:I20)</f>
        <v>12120</v>
      </c>
      <c r="J25" s="3">
        <v>0</v>
      </c>
    </row>
    <row r="27" spans="1:10" x14ac:dyDescent="0.2">
      <c r="A27" s="2" t="s">
        <v>37</v>
      </c>
    </row>
    <row r="29" spans="1:10" x14ac:dyDescent="0.2">
      <c r="A29" s="3">
        <v>5000</v>
      </c>
      <c r="B29" s="1" t="s">
        <v>38</v>
      </c>
      <c r="I29" s="3">
        <f>A29</f>
        <v>5000</v>
      </c>
    </row>
    <row r="30" spans="1:10" x14ac:dyDescent="0.2">
      <c r="A30" s="3"/>
    </row>
    <row r="31" spans="1:10" x14ac:dyDescent="0.2">
      <c r="A31" s="1" t="s">
        <v>44</v>
      </c>
    </row>
    <row r="32" spans="1:10" x14ac:dyDescent="0.2">
      <c r="A32" s="3">
        <v>50</v>
      </c>
      <c r="B32" s="1" t="s">
        <v>47</v>
      </c>
      <c r="H32" s="1">
        <v>2</v>
      </c>
      <c r="I32" s="1">
        <f ca="1">IF(Eingaben!M30=Fördersätze!H32,A32*Eingaben!B26,0)</f>
        <v>0</v>
      </c>
    </row>
    <row r="33" spans="1:11" x14ac:dyDescent="0.2">
      <c r="A33" s="3">
        <v>70</v>
      </c>
      <c r="B33" s="1" t="s">
        <v>48</v>
      </c>
      <c r="H33" s="1">
        <v>3</v>
      </c>
      <c r="I33" s="1">
        <f ca="1">IF(Eingaben!M30=Fördersätze!H33,A33*Eingaben!B26,0)</f>
        <v>0</v>
      </c>
    </row>
    <row r="34" spans="1:11" x14ac:dyDescent="0.2">
      <c r="A34" s="3">
        <v>90</v>
      </c>
      <c r="B34" s="1" t="s">
        <v>49</v>
      </c>
      <c r="H34" s="1">
        <v>4</v>
      </c>
      <c r="I34" s="1">
        <f ca="1">IF(Eingaben!M30=Fördersätze!H34,A34*Eingaben!B26,0)</f>
        <v>27270</v>
      </c>
    </row>
    <row r="35" spans="1:11" x14ac:dyDescent="0.2">
      <c r="A35" s="3">
        <v>110</v>
      </c>
      <c r="B35" s="1" t="s">
        <v>50</v>
      </c>
      <c r="H35" s="1">
        <v>5</v>
      </c>
      <c r="I35" s="1">
        <f ca="1">IF(Eingaben!M30=Fördersätze!H35,A35*Eingaben!B26,0)</f>
        <v>0</v>
      </c>
    </row>
    <row r="36" spans="1:11" x14ac:dyDescent="0.2">
      <c r="A36" s="3"/>
    </row>
    <row r="37" spans="1:11" x14ac:dyDescent="0.2">
      <c r="A37" s="3">
        <v>10</v>
      </c>
      <c r="B37" s="1" t="s">
        <v>40</v>
      </c>
      <c r="F37" s="1">
        <v>3</v>
      </c>
      <c r="G37" s="1">
        <v>2</v>
      </c>
      <c r="H37" s="1">
        <f ca="1">IF(AND(Eingaben!M27&lt;=Fördersätze!F37,Eingaben!N27&lt;=Fördersätze!G37),A37*Eingaben!B26,0)</f>
        <v>3030</v>
      </c>
      <c r="I37" s="66">
        <f ca="1">IF(Eingaben!C46="x",J25,Fördersätze!K37)</f>
        <v>3030</v>
      </c>
      <c r="K37" s="1">
        <f ca="1">IF(H38=0,H37,J25)</f>
        <v>3030</v>
      </c>
    </row>
    <row r="38" spans="1:11" x14ac:dyDescent="0.2">
      <c r="A38" s="3">
        <v>40</v>
      </c>
      <c r="B38" s="1" t="s">
        <v>41</v>
      </c>
      <c r="F38" s="1">
        <v>2</v>
      </c>
      <c r="G38" s="1">
        <v>1</v>
      </c>
      <c r="H38" s="1">
        <f ca="1">IF(AND(Eingaben!M27&lt;=Fördersätze!F38,Eingaben!N27&lt;=Fördersätze!G38),A38*Eingaben!B26,0)</f>
        <v>0</v>
      </c>
      <c r="I38" s="66">
        <f ca="1">IF(Eingaben!C46="x",J25,Fördersätze!K38)</f>
        <v>0</v>
      </c>
      <c r="K38" s="1">
        <f ca="1">IF(H38&gt;0,H38,J25)</f>
        <v>0</v>
      </c>
    </row>
    <row r="39" spans="1:11" x14ac:dyDescent="0.2">
      <c r="A39" s="3"/>
    </row>
    <row r="40" spans="1:11" x14ac:dyDescent="0.2">
      <c r="A40" s="1" t="s">
        <v>45</v>
      </c>
    </row>
    <row r="41" spans="1:11" x14ac:dyDescent="0.2">
      <c r="A41" s="3">
        <f>SUM(A32*0.6)</f>
        <v>30</v>
      </c>
      <c r="B41" s="1" t="s">
        <v>47</v>
      </c>
      <c r="H41" s="1">
        <v>2</v>
      </c>
      <c r="I41" s="1">
        <f ca="1">IF(Eingaben!M30=Fördersätze!H41,A41*Eingaben!B27,0)</f>
        <v>0</v>
      </c>
    </row>
    <row r="42" spans="1:11" x14ac:dyDescent="0.2">
      <c r="A42" s="3">
        <f t="shared" ref="A42:A47" si="0">SUM(A33*0.6)</f>
        <v>42</v>
      </c>
      <c r="B42" s="1" t="s">
        <v>16</v>
      </c>
      <c r="H42" s="1">
        <v>3</v>
      </c>
      <c r="I42" s="1">
        <f ca="1">IF(Eingaben!M30=Fördersätze!H42,A42*Eingaben!B27,0)</f>
        <v>0</v>
      </c>
    </row>
    <row r="43" spans="1:11" x14ac:dyDescent="0.2">
      <c r="A43" s="3">
        <f t="shared" si="0"/>
        <v>54</v>
      </c>
      <c r="B43" s="1" t="s">
        <v>17</v>
      </c>
      <c r="H43" s="1">
        <v>4</v>
      </c>
      <c r="I43" s="1">
        <f ca="1">IF(Eingaben!M30=Fördersätze!H43,A43*Eingaben!B27,0)</f>
        <v>0</v>
      </c>
    </row>
    <row r="44" spans="1:11" x14ac:dyDescent="0.2">
      <c r="A44" s="3">
        <f t="shared" si="0"/>
        <v>66</v>
      </c>
      <c r="B44" s="1" t="s">
        <v>50</v>
      </c>
      <c r="H44" s="1">
        <v>5</v>
      </c>
      <c r="I44" s="1">
        <f ca="1">IF(Eingaben!M30=Fördersätze!H44,A44*Eingaben!B27,0)</f>
        <v>0</v>
      </c>
    </row>
    <row r="45" spans="1:11" x14ac:dyDescent="0.2">
      <c r="A45" s="3"/>
    </row>
    <row r="46" spans="1:11" x14ac:dyDescent="0.2">
      <c r="A46" s="3">
        <f t="shared" si="0"/>
        <v>6</v>
      </c>
      <c r="B46" s="1" t="s">
        <v>40</v>
      </c>
      <c r="F46" s="1">
        <v>3</v>
      </c>
      <c r="G46" s="1">
        <v>2</v>
      </c>
      <c r="H46" s="1">
        <f ca="1">IF(AND(Eingaben!M27&lt;=Fördersätze!F46,Eingaben!N27&lt;=Fördersätze!G46),A46*Eingaben!B27,0)</f>
        <v>0</v>
      </c>
      <c r="I46" s="66">
        <f ca="1">IF(Eingaben!C46="x",J25,Fördersätze!K46)</f>
        <v>0</v>
      </c>
      <c r="K46" s="1">
        <f ca="1">IF(H47=0,H46,J25)</f>
        <v>0</v>
      </c>
    </row>
    <row r="47" spans="1:11" x14ac:dyDescent="0.2">
      <c r="A47" s="3">
        <f t="shared" si="0"/>
        <v>24</v>
      </c>
      <c r="B47" s="1" t="s">
        <v>41</v>
      </c>
      <c r="F47" s="1">
        <v>2</v>
      </c>
      <c r="G47" s="1">
        <v>1</v>
      </c>
      <c r="H47" s="1">
        <f ca="1">IF(AND(Eingaben!M27&lt;=Fördersätze!F47,Eingaben!N27&lt;=Fördersätze!G47),A47*Eingaben!B27,0)</f>
        <v>0</v>
      </c>
      <c r="I47" s="66">
        <f ca="1">IF(Eingaben!C46="x",J25,Fördersätze!K47)</f>
        <v>0</v>
      </c>
      <c r="K47" s="1">
        <f ca="1">IF(H47&gt;0,H47,J25)</f>
        <v>0</v>
      </c>
    </row>
    <row r="48" spans="1:11" x14ac:dyDescent="0.2">
      <c r="A48" s="3"/>
    </row>
    <row r="49" spans="1:13" x14ac:dyDescent="0.2">
      <c r="A49" s="3"/>
      <c r="G49" s="1" t="s">
        <v>29</v>
      </c>
      <c r="I49" s="3">
        <f ca="1">SUM(I29:I47)</f>
        <v>35300</v>
      </c>
    </row>
    <row r="50" spans="1:13" x14ac:dyDescent="0.2">
      <c r="A50" s="3"/>
    </row>
    <row r="51" spans="1:13" x14ac:dyDescent="0.2">
      <c r="A51" s="3">
        <v>40000</v>
      </c>
      <c r="B51" s="1" t="s">
        <v>43</v>
      </c>
      <c r="F51" s="1">
        <v>2</v>
      </c>
      <c r="G51" s="1">
        <v>1</v>
      </c>
      <c r="K51" s="50"/>
      <c r="L51" s="66">
        <f>IF(Eingaben!C46="x",M51,J25)</f>
        <v>0</v>
      </c>
      <c r="M51" s="1">
        <f ca="1">IF(AND(Eingaben!M27=2,Eingaben!N27=1),Fördersätze!A51,Fördersätze!J25)</f>
        <v>0</v>
      </c>
    </row>
    <row r="52" spans="1:13" x14ac:dyDescent="0.2">
      <c r="A52" s="3">
        <v>30000</v>
      </c>
      <c r="B52" s="1" t="s">
        <v>42</v>
      </c>
      <c r="F52" s="1">
        <v>3</v>
      </c>
      <c r="G52" s="1">
        <v>2</v>
      </c>
      <c r="L52" s="66">
        <f>IF(Eingaben!C46="x",M52,J25)</f>
        <v>0</v>
      </c>
      <c r="M52" s="1">
        <f ca="1">IF(AND(Eingaben!M27=3,Eingaben!N27=2),Fördersätze!A52,Fördersätze!J26)</f>
        <v>30000</v>
      </c>
    </row>
    <row r="53" spans="1:13" x14ac:dyDescent="0.2">
      <c r="A53" s="3">
        <v>35000</v>
      </c>
      <c r="B53" s="1" t="s">
        <v>91</v>
      </c>
      <c r="F53" s="1">
        <v>2</v>
      </c>
      <c r="G53" s="1">
        <v>2</v>
      </c>
      <c r="L53" s="66">
        <f>IF(Eingaben!C46="x",M53,J25)</f>
        <v>0</v>
      </c>
      <c r="M53" s="1">
        <f ca="1">IF(AND(Eingaben!M27=2,Eingaben!N27=2),Fördersätze!A53,Fördersätze!J27)</f>
        <v>0</v>
      </c>
    </row>
    <row r="54" spans="1:13" x14ac:dyDescent="0.2">
      <c r="A54" s="3"/>
      <c r="G54" s="1" t="s">
        <v>52</v>
      </c>
      <c r="I54" s="3">
        <f ca="1">IF(I49&gt;L54,I49,L54)</f>
        <v>35300</v>
      </c>
      <c r="L54" s="66">
        <f>SUM(L51:L53)</f>
        <v>0</v>
      </c>
    </row>
    <row r="55" spans="1:13" x14ac:dyDescent="0.2">
      <c r="A55" s="3"/>
    </row>
    <row r="56" spans="1:13" x14ac:dyDescent="0.2">
      <c r="A56" s="4" t="s">
        <v>55</v>
      </c>
    </row>
    <row r="57" spans="1:13" x14ac:dyDescent="0.2">
      <c r="A57" s="3"/>
    </row>
    <row r="58" spans="1:13" x14ac:dyDescent="0.2">
      <c r="A58" s="3" t="s">
        <v>63</v>
      </c>
    </row>
    <row r="59" spans="1:13" x14ac:dyDescent="0.2">
      <c r="A59" s="3" t="s">
        <v>56</v>
      </c>
    </row>
    <row r="60" spans="1:13" x14ac:dyDescent="0.2">
      <c r="A60" s="3">
        <v>100</v>
      </c>
      <c r="B60" s="1" t="s">
        <v>57</v>
      </c>
      <c r="D60" s="1">
        <f>IF(Eingaben!B34="x",A60*Eingaben!B28,J25)</f>
        <v>30300</v>
      </c>
      <c r="G60" s="3">
        <f>IF(A61&gt;D60,A61,D60)</f>
        <v>40000</v>
      </c>
      <c r="J60" s="1">
        <f>IF(Eingaben!C31="x",K60,J25)</f>
        <v>0</v>
      </c>
      <c r="K60" s="1">
        <f>IF(D60=0,D60,G60)</f>
        <v>40000</v>
      </c>
    </row>
    <row r="61" spans="1:13" x14ac:dyDescent="0.2">
      <c r="A61" s="3">
        <v>40000</v>
      </c>
      <c r="B61" s="1" t="s">
        <v>58</v>
      </c>
    </row>
    <row r="62" spans="1:13" x14ac:dyDescent="0.2">
      <c r="A62" s="3"/>
    </row>
    <row r="63" spans="1:13" x14ac:dyDescent="0.2">
      <c r="A63" s="3" t="s">
        <v>59</v>
      </c>
    </row>
    <row r="64" spans="1:13" x14ac:dyDescent="0.2">
      <c r="A64" s="3">
        <v>10000</v>
      </c>
      <c r="B64" s="1" t="s">
        <v>38</v>
      </c>
    </row>
    <row r="65" spans="1:11" x14ac:dyDescent="0.2">
      <c r="A65" s="3">
        <v>80</v>
      </c>
      <c r="B65" s="1" t="s">
        <v>57</v>
      </c>
      <c r="D65" s="1">
        <f>IF(Eingaben!B35="x",A65*Eingaben!D35,J25)</f>
        <v>0</v>
      </c>
      <c r="F65" s="3">
        <f>SUM(A64+D65)</f>
        <v>10000</v>
      </c>
      <c r="G65" s="1">
        <f>IF(D65=0,J25,F65)</f>
        <v>0</v>
      </c>
    </row>
    <row r="66" spans="1:11" x14ac:dyDescent="0.2">
      <c r="A66" s="3">
        <v>40000</v>
      </c>
      <c r="B66" s="1" t="s">
        <v>58</v>
      </c>
      <c r="F66" s="3"/>
    </row>
    <row r="67" spans="1:11" x14ac:dyDescent="0.2">
      <c r="A67" s="3"/>
    </row>
    <row r="68" spans="1:11" x14ac:dyDescent="0.2">
      <c r="A68" s="3" t="s">
        <v>60</v>
      </c>
    </row>
    <row r="69" spans="1:11" x14ac:dyDescent="0.2">
      <c r="A69" s="3">
        <v>10000</v>
      </c>
      <c r="B69" s="1" t="s">
        <v>38</v>
      </c>
    </row>
    <row r="70" spans="1:11" x14ac:dyDescent="0.2">
      <c r="A70" s="3">
        <v>40</v>
      </c>
      <c r="B70" s="1" t="s">
        <v>57</v>
      </c>
      <c r="D70" s="1">
        <f>IF(Eingaben!B36="x",A70*Eingaben!D36,J25)</f>
        <v>0</v>
      </c>
      <c r="F70" s="3">
        <f>SUM(A69+D70)</f>
        <v>10000</v>
      </c>
      <c r="G70" s="1">
        <f>IF(D70=0,J29,F70)</f>
        <v>0</v>
      </c>
    </row>
    <row r="71" spans="1:11" x14ac:dyDescent="0.2">
      <c r="A71" s="3">
        <v>40000</v>
      </c>
      <c r="B71" s="1" t="s">
        <v>58</v>
      </c>
      <c r="F71" s="3"/>
    </row>
    <row r="72" spans="1:11" x14ac:dyDescent="0.2">
      <c r="A72" s="3"/>
      <c r="G72" s="3"/>
    </row>
    <row r="73" spans="1:11" x14ac:dyDescent="0.2">
      <c r="A73" s="3" t="s">
        <v>65</v>
      </c>
      <c r="G73" s="3">
        <f>SUM(G65:G70)</f>
        <v>0</v>
      </c>
      <c r="H73" s="1">
        <f>IF(OR(D65&gt;0,D70&gt;0),G73,J25)</f>
        <v>0</v>
      </c>
      <c r="I73" s="3">
        <f>IF(A71&gt;H73,A71,H73)</f>
        <v>40000</v>
      </c>
      <c r="J73" s="1">
        <f>IF(Eingaben!C31="x",K73,J25)</f>
        <v>0</v>
      </c>
      <c r="K73" s="1">
        <f>IF(G73=0,J25,I73)</f>
        <v>0</v>
      </c>
    </row>
    <row r="74" spans="1:11" x14ac:dyDescent="0.2">
      <c r="A74" s="3"/>
      <c r="G74" s="3"/>
      <c r="I74" s="3"/>
    </row>
    <row r="75" spans="1:11" x14ac:dyDescent="0.2">
      <c r="A75" s="3" t="s">
        <v>66</v>
      </c>
      <c r="G75" s="3"/>
      <c r="I75" s="3"/>
      <c r="J75" s="1">
        <f>SUM(J60:J73)</f>
        <v>0</v>
      </c>
    </row>
    <row r="76" spans="1:11" x14ac:dyDescent="0.2">
      <c r="A76" s="3"/>
      <c r="G76" s="3"/>
      <c r="I76" s="3"/>
    </row>
    <row r="77" spans="1:11" x14ac:dyDescent="0.2">
      <c r="A77" s="3"/>
    </row>
    <row r="78" spans="1:11" x14ac:dyDescent="0.2">
      <c r="A78" s="4" t="s">
        <v>71</v>
      </c>
    </row>
    <row r="79" spans="1:11" x14ac:dyDescent="0.2">
      <c r="A79" s="3"/>
    </row>
    <row r="80" spans="1:11" x14ac:dyDescent="0.2">
      <c r="A80" s="3" t="s">
        <v>62</v>
      </c>
    </row>
    <row r="81" spans="1:11" x14ac:dyDescent="0.2">
      <c r="A81" s="3" t="s">
        <v>56</v>
      </c>
    </row>
    <row r="82" spans="1:11" x14ac:dyDescent="0.2">
      <c r="A82" s="3">
        <v>155</v>
      </c>
      <c r="B82" s="1" t="s">
        <v>57</v>
      </c>
      <c r="D82" s="1">
        <f>IF(Eingaben!B34="x",A82*Eingaben!B28,J25)</f>
        <v>46965</v>
      </c>
      <c r="G82" s="3">
        <f>IF(A83&gt;D82,A83,D82)</f>
        <v>46965</v>
      </c>
      <c r="J82" s="1">
        <f>IF(Eingaben!C32="x",K82,J25)</f>
        <v>0</v>
      </c>
      <c r="K82" s="1">
        <f>IF(D82=0,D82,G82)</f>
        <v>46965</v>
      </c>
    </row>
    <row r="83" spans="1:11" x14ac:dyDescent="0.2">
      <c r="A83" s="3">
        <v>45000</v>
      </c>
      <c r="B83" s="1" t="s">
        <v>58</v>
      </c>
    </row>
    <row r="84" spans="1:11" x14ac:dyDescent="0.2">
      <c r="A84" s="3"/>
    </row>
    <row r="85" spans="1:11" x14ac:dyDescent="0.2">
      <c r="A85" s="3" t="s">
        <v>59</v>
      </c>
    </row>
    <row r="86" spans="1:11" x14ac:dyDescent="0.2">
      <c r="A86" s="3">
        <v>10000</v>
      </c>
      <c r="B86" s="1" t="s">
        <v>38</v>
      </c>
    </row>
    <row r="87" spans="1:11" x14ac:dyDescent="0.2">
      <c r="A87" s="3">
        <v>100</v>
      </c>
      <c r="B87" s="1" t="s">
        <v>57</v>
      </c>
      <c r="D87" s="1">
        <f>IF(Eingaben!B35="x",A87*Eingaben!D35,J25)</f>
        <v>0</v>
      </c>
      <c r="F87" s="3">
        <f>SUM(A86+D87)</f>
        <v>10000</v>
      </c>
      <c r="G87" s="1">
        <f>IF(D87=0,J25,F87)</f>
        <v>0</v>
      </c>
    </row>
    <row r="88" spans="1:11" x14ac:dyDescent="0.2">
      <c r="A88" s="3">
        <v>40000</v>
      </c>
      <c r="B88" s="1" t="s">
        <v>58</v>
      </c>
      <c r="F88" s="3"/>
    </row>
    <row r="89" spans="1:11" x14ac:dyDescent="0.2">
      <c r="A89" s="3"/>
    </row>
    <row r="90" spans="1:11" x14ac:dyDescent="0.2">
      <c r="A90" s="3" t="s">
        <v>60</v>
      </c>
    </row>
    <row r="91" spans="1:11" x14ac:dyDescent="0.2">
      <c r="A91" s="3">
        <v>10000</v>
      </c>
      <c r="B91" s="1" t="s">
        <v>38</v>
      </c>
    </row>
    <row r="92" spans="1:11" x14ac:dyDescent="0.2">
      <c r="A92" s="3">
        <v>65</v>
      </c>
      <c r="B92" s="1" t="s">
        <v>57</v>
      </c>
      <c r="D92" s="1">
        <f>IF(Eingaben!B36="x",A92*Eingaben!D36,J46)</f>
        <v>0</v>
      </c>
      <c r="F92" s="3">
        <f>SUM(A91+D92)</f>
        <v>10000</v>
      </c>
      <c r="G92" s="1">
        <f>IF(D92=0,J25,F92)</f>
        <v>0</v>
      </c>
    </row>
    <row r="93" spans="1:11" x14ac:dyDescent="0.2">
      <c r="A93" s="3">
        <v>45000</v>
      </c>
      <c r="B93" s="1" t="s">
        <v>58</v>
      </c>
      <c r="F93" s="3"/>
    </row>
    <row r="94" spans="1:11" x14ac:dyDescent="0.2">
      <c r="A94" s="3"/>
      <c r="F94" s="3"/>
    </row>
    <row r="95" spans="1:11" x14ac:dyDescent="0.2">
      <c r="A95" s="3" t="s">
        <v>65</v>
      </c>
      <c r="F95" s="3"/>
      <c r="G95" s="3">
        <f>SUM(G87:G92)</f>
        <v>0</v>
      </c>
      <c r="H95" s="1">
        <f>IF(OR(D87&gt;0,D92&gt;0),G95,J47)</f>
        <v>0</v>
      </c>
      <c r="I95" s="3">
        <f>IF(A93&gt;H95,A93,H95)</f>
        <v>45000</v>
      </c>
      <c r="J95" s="1">
        <f>IF(Eingaben!C32="x",K95,J25)</f>
        <v>0</v>
      </c>
      <c r="K95" s="1">
        <f>IF(G95=0,J47,I95)</f>
        <v>0</v>
      </c>
    </row>
    <row r="96" spans="1:11" x14ac:dyDescent="0.2">
      <c r="A96" s="3"/>
      <c r="F96" s="3"/>
      <c r="G96" s="3"/>
      <c r="I96" s="3"/>
    </row>
    <row r="97" spans="1:10" x14ac:dyDescent="0.2">
      <c r="A97" s="3" t="s">
        <v>73</v>
      </c>
      <c r="G97" s="3"/>
      <c r="I97" s="3"/>
      <c r="J97" s="1">
        <f>SUM(J82:J95)</f>
        <v>0</v>
      </c>
    </row>
    <row r="98" spans="1:10" x14ac:dyDescent="0.2">
      <c r="A98" s="3"/>
    </row>
    <row r="99" spans="1:10" x14ac:dyDescent="0.2">
      <c r="A99" s="3"/>
    </row>
    <row r="100" spans="1:10" x14ac:dyDescent="0.2">
      <c r="A100" s="4" t="s">
        <v>72</v>
      </c>
    </row>
    <row r="101" spans="1:10" x14ac:dyDescent="0.2">
      <c r="A101" s="3"/>
    </row>
    <row r="102" spans="1:10" x14ac:dyDescent="0.2">
      <c r="A102" s="3" t="s">
        <v>61</v>
      </c>
    </row>
    <row r="103" spans="1:10" x14ac:dyDescent="0.2">
      <c r="A103" s="3">
        <v>50</v>
      </c>
      <c r="B103" s="1" t="s">
        <v>57</v>
      </c>
    </row>
    <row r="104" spans="1:10" x14ac:dyDescent="0.2">
      <c r="A104" s="3"/>
    </row>
    <row r="105" spans="1:10" x14ac:dyDescent="0.2">
      <c r="A105" s="3"/>
    </row>
    <row r="106" spans="1:10" x14ac:dyDescent="0.2">
      <c r="A106" s="4" t="s">
        <v>94</v>
      </c>
    </row>
    <row r="107" spans="1:10" x14ac:dyDescent="0.2">
      <c r="A107" s="3" t="s">
        <v>115</v>
      </c>
      <c r="D107" s="1" t="s">
        <v>116</v>
      </c>
      <c r="G107" s="1" t="s">
        <v>117</v>
      </c>
    </row>
    <row r="108" spans="1:10" x14ac:dyDescent="0.2">
      <c r="A108" s="3">
        <v>10000</v>
      </c>
      <c r="B108" s="1" t="s">
        <v>21</v>
      </c>
      <c r="D108" s="3">
        <v>4000</v>
      </c>
      <c r="E108" s="1" t="s">
        <v>21</v>
      </c>
      <c r="G108" s="3">
        <v>7000</v>
      </c>
      <c r="H108" s="1" t="s">
        <v>21</v>
      </c>
    </row>
    <row r="109" spans="1:10" x14ac:dyDescent="0.2">
      <c r="A109" s="3">
        <v>16000</v>
      </c>
      <c r="B109" s="1" t="s">
        <v>22</v>
      </c>
      <c r="D109" s="3">
        <v>6000</v>
      </c>
      <c r="E109" s="1" t="s">
        <v>22</v>
      </c>
      <c r="G109" s="3">
        <v>12000</v>
      </c>
      <c r="H109" s="1" t="s">
        <v>22</v>
      </c>
    </row>
    <row r="110" spans="1:10" x14ac:dyDescent="0.2">
      <c r="A110" s="3">
        <v>16000</v>
      </c>
      <c r="B110" s="1" t="s">
        <v>23</v>
      </c>
      <c r="D110" s="3">
        <v>6000</v>
      </c>
      <c r="E110" s="1" t="s">
        <v>23</v>
      </c>
      <c r="G110" s="3">
        <v>12000</v>
      </c>
      <c r="H110" s="1" t="s">
        <v>23</v>
      </c>
    </row>
    <row r="111" spans="1:10" x14ac:dyDescent="0.2">
      <c r="A111" s="3"/>
    </row>
    <row r="112" spans="1:10" x14ac:dyDescent="0.2">
      <c r="A112" s="3"/>
    </row>
    <row r="113" spans="1:2" x14ac:dyDescent="0.2">
      <c r="A113" s="4" t="s">
        <v>100</v>
      </c>
    </row>
    <row r="114" spans="1:2" x14ac:dyDescent="0.2">
      <c r="A114" s="3"/>
    </row>
    <row r="115" spans="1:2" x14ac:dyDescent="0.2">
      <c r="A115" s="3">
        <v>3000</v>
      </c>
      <c r="B115" s="1" t="s">
        <v>21</v>
      </c>
    </row>
    <row r="116" spans="1:2" x14ac:dyDescent="0.2">
      <c r="A116" s="3">
        <v>10</v>
      </c>
      <c r="B116" s="1" t="s">
        <v>22</v>
      </c>
    </row>
    <row r="117" spans="1:2" x14ac:dyDescent="0.2">
      <c r="A117" s="3">
        <v>10</v>
      </c>
      <c r="B117" s="1" t="s">
        <v>23</v>
      </c>
    </row>
    <row r="118" spans="1:2" x14ac:dyDescent="0.2">
      <c r="A118" s="3"/>
    </row>
    <row r="119" spans="1:2" x14ac:dyDescent="0.2">
      <c r="A119" s="3"/>
    </row>
    <row r="120" spans="1:2" x14ac:dyDescent="0.2">
      <c r="A120" s="3"/>
    </row>
    <row r="121" spans="1:2" x14ac:dyDescent="0.2">
      <c r="A121" s="3"/>
    </row>
    <row r="122" spans="1:2" x14ac:dyDescent="0.2">
      <c r="A122" s="3"/>
    </row>
    <row r="123" spans="1:2" x14ac:dyDescent="0.2">
      <c r="A123" s="3"/>
    </row>
    <row r="124" spans="1:2" x14ac:dyDescent="0.2">
      <c r="A124" s="3"/>
    </row>
    <row r="125" spans="1:2" x14ac:dyDescent="0.2">
      <c r="A125" s="3"/>
    </row>
    <row r="126" spans="1:2" x14ac:dyDescent="0.2">
      <c r="A126" s="3"/>
    </row>
    <row r="127" spans="1:2" x14ac:dyDescent="0.2">
      <c r="A127" s="3"/>
    </row>
  </sheetData>
  <sheetProtection algorithmName="SHA-512" hashValue="0QXJBZIgBTKjN00Mq/2tUK8o323bDsIEgiGoO2k2n+igwAK2e8bD3th7jazdQB2Up2isxjZNvKClyBWoph8Xng==" saltValue="TKKQdQswjSIte2LueP5pEw==" spinCount="100000" sheet="1" objects="1" scenarios="1"/>
  <phoneticPr fontId="16" type="noConversion"/>
  <pageMargins left="0.7" right="0.7" top="0.78740157499999996" bottom="0.78740157499999996" header="0.3" footer="0.3"/>
  <pageSetup paperSize="9" orientation="portrait" horizontalDpi="300" verticalDpi="300" r:id="rId1"/>
  <rowBreaks count="1" manualBreakCount="1">
    <brk id="54" max="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Eingaben</vt:lpstr>
      <vt:lpstr>Resultat</vt:lpstr>
      <vt:lpstr>Fördersätze</vt:lpstr>
      <vt:lpstr>Eingaben!Druckbereich</vt:lpstr>
      <vt:lpstr>Fördersätze!Druckbereich</vt:lpstr>
      <vt:lpstr>Resultat!Druckbereich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Mischler</dc:creator>
  <cp:lastModifiedBy>Stefan</cp:lastModifiedBy>
  <cp:lastPrinted>2019-02-04T07:17:50Z</cp:lastPrinted>
  <dcterms:created xsi:type="dcterms:W3CDTF">2019-01-31T12:38:08Z</dcterms:created>
  <dcterms:modified xsi:type="dcterms:W3CDTF">2021-12-26T15:56:14Z</dcterms:modified>
</cp:coreProperties>
</file>